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45" windowHeight="5430" tabRatio="806" firstSheet="20" activeTab="24"/>
  </bookViews>
  <sheets>
    <sheet name="Tartalomjegyzék" sheetId="1" r:id="rId1"/>
    <sheet name="Módosítás II. fordulóra" sheetId="2" r:id="rId2"/>
    <sheet name="1.mell._Össz_Mérleg2014" sheetId="3" r:id="rId3"/>
    <sheet name="1.1.mell._ÖNK_Mérleg2014" sheetId="4" r:id="rId4"/>
    <sheet name="1.2.mell._PH_Mérleg2014" sheetId="5" r:id="rId5"/>
    <sheet name="1.3.mell._HVÓBKI_Mérleg2014" sheetId="6" r:id="rId6"/>
    <sheet name="1.4.mell._HKK_Mérleg2014" sheetId="7" r:id="rId7"/>
    <sheet name="2.a.mell._MMérleg2014" sheetId="8" r:id="rId8"/>
    <sheet name="2.b.mell._FMérleg2014" sheetId="9" r:id="rId9"/>
    <sheet name="3. mell._létszám2014" sheetId="10" r:id="rId10"/>
    <sheet name="4. mell. EUprojektek2014" sheetId="11" r:id="rId11"/>
    <sheet name="5.mell_adósság2014" sheetId="12" r:id="rId12"/>
    <sheet name="6.mell_Többévesköt.2014" sheetId="13" r:id="rId13"/>
    <sheet name="7. mell_KözvetettTám2014" sheetId="14" r:id="rId14"/>
    <sheet name="8.mell_EIfelhterv2014" sheetId="15" r:id="rId15"/>
    <sheet name="9.mell_ÖsszMérleg(telj)2014" sheetId="16" r:id="rId16"/>
    <sheet name="10.mell_támogatások2014" sheetId="17" r:id="rId17"/>
    <sheet name="11.mell_felhKiad2014" sheetId="18" r:id="rId18"/>
    <sheet name="12.mell_céltámogatások2014" sheetId="19" r:id="rId19"/>
    <sheet name="13.mell_ÖNKfeladatok2014" sheetId="20" r:id="rId20"/>
    <sheet name="14.mell_Önk kiegészítés2014" sheetId="21" r:id="rId21"/>
    <sheet name="15.mell_Tartozások2013" sheetId="22" r:id="rId22"/>
    <sheet name="16.mell_Étkezésdíj2014" sheetId="23" r:id="rId23"/>
    <sheet name="1.függVárosüzem2014" sheetId="24" r:id="rId24"/>
    <sheet name="2.függ_adósság2014 (határozat)" sheetId="25" r:id="rId25"/>
    <sheet name="jogviszony" sheetId="26" state="hidden" r:id="rId26"/>
    <sheet name="jogviszony (B)" sheetId="27" state="hidden" r:id="rId27"/>
  </sheets>
  <externalReferences>
    <externalReference r:id="rId30"/>
    <externalReference r:id="rId31"/>
    <externalReference r:id="rId32"/>
    <externalReference r:id="rId33"/>
  </externalReferences>
  <definedNames>
    <definedName name="kst">#REF!</definedName>
    <definedName name="nev">'[2]kod'!$CD$8:$CD$3150</definedName>
    <definedName name="_xlnm.Print_Titles" localSheetId="19">'13.mell_ÖNKfeladatok2014'!$A:$E,'13.mell_ÖNKfeladatok2014'!$104:$106</definedName>
    <definedName name="_xlnm.Print_Titles" localSheetId="20">'14.mell_Önk kiegészítés2014'!$B:$B</definedName>
    <definedName name="_xlnm.Print_Titles" localSheetId="1">'Módosítás II. fordulóra'!$A:$E,'Módosítás II. fordulóra'!#REF!</definedName>
    <definedName name="_xlnm.Print_Area" localSheetId="3">'1.1.mell._ÖNK_Mérleg2014'!$A$1:$F$227</definedName>
    <definedName name="_xlnm.Print_Area" localSheetId="4">'1.2.mell._PH_Mérleg2014'!$A$1:$F$227</definedName>
    <definedName name="_xlnm.Print_Area" localSheetId="5">'1.3.mell._HVÓBKI_Mérleg2014'!$A$1:$F$227</definedName>
    <definedName name="_xlnm.Print_Area" localSheetId="6">'1.4.mell._HKK_Mérleg2014'!$A$1:$F$227</definedName>
    <definedName name="_xlnm.Print_Area" localSheetId="2">'1.mell._Össz_Mérleg2014'!$A$1:$F$227</definedName>
    <definedName name="_xlnm.Print_Area" localSheetId="7">'2.a.mell._MMérleg2014'!$A$1:$K$33</definedName>
    <definedName name="_xlnm.Print_Area" localSheetId="8">'2.b.mell._FMérleg2014'!$A$1:$K$37</definedName>
    <definedName name="_xlnm.Print_Area" localSheetId="15">'9.mell_ÖsszMérleg(telj)2014'!$A$1:$E$227</definedName>
    <definedName name="onev">'[3]kod'!$BT$34:$BT$3184</definedName>
    <definedName name="pr131" localSheetId="24">'2.függ_adósság2014 (határozat)'!$B$6</definedName>
    <definedName name="pr132" localSheetId="24">'2.függ_adósság2014 (határozat)'!#REF!</definedName>
    <definedName name="pr133" localSheetId="24">'2.függ_adósság2014 (határozat)'!$B$8</definedName>
    <definedName name="pr134" localSheetId="24">'2.függ_adósság2014 (határozat)'!$B$9</definedName>
    <definedName name="pr135" localSheetId="24">'2.függ_adósság2014 (határozat)'!$B$10</definedName>
    <definedName name="pr136" localSheetId="24">'2.függ_adósság2014 (határozat)'!$B$11</definedName>
    <definedName name="pr137" localSheetId="24">'2.függ_adósság2014 (határozat)'!$B$12</definedName>
    <definedName name="pr138" localSheetId="24">'2.függ_adósság2014 (határozat)'!$B$13</definedName>
    <definedName name="pr139" localSheetId="24">'2.függ_adósság2014 (határozat)'!$B$14</definedName>
    <definedName name="pr140" localSheetId="24">'2.függ_adósság2014 (határozat)'!#REF!</definedName>
    <definedName name="pr141" localSheetId="24">'2.függ_adósság2014 (határozat)'!$B$15</definedName>
    <definedName name="pr142" localSheetId="24">'2.függ_adósság2014 (határozat)'!$B$16</definedName>
    <definedName name="pr143" localSheetId="24">'2.függ_adósság2014 (határozat)'!$B$17</definedName>
    <definedName name="pr144" localSheetId="24">'2.függ_adósság2014 (határozat)'!$B$18</definedName>
    <definedName name="pr145" localSheetId="24">'2.függ_adósság2014 (határozat)'!$B$28</definedName>
    <definedName name="pr146" localSheetId="24">'2.függ_adósság2014 (határozat)'!$B$29</definedName>
    <definedName name="pr147" localSheetId="24">'2.függ_adósság2014 (határozat)'!$B$30</definedName>
    <definedName name="pr148" localSheetId="24">'2.függ_adósság2014 (határozat)'!$B$31</definedName>
    <definedName name="pr149" localSheetId="24">'2.függ_adósság2014 (határozat)'!$B$34</definedName>
    <definedName name="pr150" localSheetId="24">'2.függ_adósság2014 (határozat)'!#REF!</definedName>
    <definedName name="pr151" localSheetId="24">'2.függ_adósság2014 (határozat)'!$B$36</definedName>
    <definedName name="pr152" localSheetId="24">'2.függ_adósság2014 (határozat)'!$B$37</definedName>
    <definedName name="pr153" localSheetId="24">'2.függ_adósság2014 (határozat)'!$B$38</definedName>
    <definedName name="pr154" localSheetId="24">'2.függ_adósság2014 (határozat)'!$B$39</definedName>
    <definedName name="pr155" localSheetId="24">'2.függ_adósság2014 (határozat)'!$B$41</definedName>
    <definedName name="pr156" localSheetId="24">'2.függ_adósság2014 (határozat)'!$B$43</definedName>
    <definedName name="pr157" localSheetId="24">'2.függ_adósság2014 (határozat)'!$B$44</definedName>
    <definedName name="pr158" localSheetId="24">'2.függ_adósság2014 (határozat)'!$B$45</definedName>
    <definedName name="pr159" localSheetId="24">'2.függ_adósság2014 (határozat)'!$B$46</definedName>
    <definedName name="pr160" localSheetId="24">'2.függ_adósság2014 (határozat)'!$B$47</definedName>
    <definedName name="pr161" localSheetId="24">'2.függ_adósság2014 (határozat)'!#REF!</definedName>
    <definedName name="pr162" localSheetId="24">'2.függ_adósság2014 (határozat)'!#REF!</definedName>
    <definedName name="pr163" localSheetId="24">'2.függ_adósság2014 (határozat)'!#REF!</definedName>
  </definedNames>
  <calcPr fullCalcOnLoad="1"/>
</workbook>
</file>

<file path=xl/sharedStrings.xml><?xml version="1.0" encoding="utf-8"?>
<sst xmlns="http://schemas.openxmlformats.org/spreadsheetml/2006/main" count="5080" uniqueCount="1424">
  <si>
    <t>Egyéb működési célú támogatások államháztartáson belülre</t>
  </si>
  <si>
    <t>Egyéb működési célú támogatások államháztartáson kívülre</t>
  </si>
  <si>
    <t>Egyéb felhalmozási célú támogatások államháztartáson belülre</t>
  </si>
  <si>
    <t>4.</t>
  </si>
  <si>
    <t>1.</t>
  </si>
  <si>
    <t>2.</t>
  </si>
  <si>
    <t>3.</t>
  </si>
  <si>
    <t>Megnevezés</t>
  </si>
  <si>
    <t>Sor-
szám</t>
  </si>
  <si>
    <t>12.</t>
  </si>
  <si>
    <t>11.</t>
  </si>
  <si>
    <t>10.</t>
  </si>
  <si>
    <t>9.</t>
  </si>
  <si>
    <t>8.</t>
  </si>
  <si>
    <t>7.</t>
  </si>
  <si>
    <t>6.</t>
  </si>
  <si>
    <t>5.</t>
  </si>
  <si>
    <t>Sor-szám</t>
  </si>
  <si>
    <t>Összesen</t>
  </si>
  <si>
    <t>………..</t>
  </si>
  <si>
    <t>III. funkciócsoport</t>
  </si>
  <si>
    <t>II. funkciócsoport</t>
  </si>
  <si>
    <t>I. funkciócsoport</t>
  </si>
  <si>
    <t>Megközelítőleg hány fős létszám álláshelyen történő foglalkoztatását váltja ki (főben)</t>
  </si>
  <si>
    <t>Vásárolt szolgáltatással, számlás foglalkoztatás keretében ellátott feladat megnevezése</t>
  </si>
  <si>
    <t>Mindösszesen</t>
  </si>
  <si>
    <t>Megbízási szerződés alapján foglalkoztatottak</t>
  </si>
  <si>
    <t>Munka Törvénykönyve hatálya alá tartozók</t>
  </si>
  <si>
    <t>Igazságügyi, ügyészségi alkalmazottak</t>
  </si>
  <si>
    <t>Bírák, ügyészek</t>
  </si>
  <si>
    <t>Magyar Honvédség hivatásos állományú katonái</t>
  </si>
  <si>
    <t>Rendvédelmi szervek hivatásos állományú tagjai</t>
  </si>
  <si>
    <t>Közalkalmazottak</t>
  </si>
  <si>
    <t>Köztisztviselők</t>
  </si>
  <si>
    <t>Nem vezetői létszám</t>
  </si>
  <si>
    <t>Vezetői létszám</t>
  </si>
  <si>
    <t>adatok főben</t>
  </si>
  <si>
    <t>Az engedélyezett létszámkeret jogviszony szerinti megoszlása</t>
  </si>
  <si>
    <t>-</t>
  </si>
  <si>
    <t>IV.</t>
  </si>
  <si>
    <t>III.</t>
  </si>
  <si>
    <t>II.</t>
  </si>
  <si>
    <t>I.</t>
  </si>
  <si>
    <t>Települési önkormányzatok muzeális intézményi feladatainak támogatása</t>
  </si>
  <si>
    <t>A Miskolctapolcai Strandfürdő és környezete fejlesztésének támogatása</t>
  </si>
  <si>
    <t>A települési önkormányzatok helyi közösségi közlekedésének támogatása</t>
  </si>
  <si>
    <t>Lakott külterülettel kapcsolatos feladatok támogatása</t>
  </si>
  <si>
    <t>Települési önkormányzatok köznevelési feladatainak egyéb támogatása</t>
  </si>
  <si>
    <t>Üdülőhelyi feladatok támogatása</t>
  </si>
  <si>
    <t>A pécsi Zsolnay Kulturális Negyed és a Kodály Központ működésének támogatása</t>
  </si>
  <si>
    <t>A 2013. évről áthúzódó bérkompenzáció támogatása</t>
  </si>
  <si>
    <t>Könyvtári és közművelődési érdekeltségnövelő támogatás, muzeális intézmények szakmai támogatása</t>
  </si>
  <si>
    <t>Önkormányzati feladatellátást szolgáló fejlesztések</t>
  </si>
  <si>
    <t>Gyermekszegénység elleni program keretében nyári étkeztetés biztosítása</t>
  </si>
  <si>
    <t>Önkormányzatok és társulásaik európai uniós fejlesztési pályázatai saját forrás kiegészítésének támogatása</t>
  </si>
  <si>
    <t>Ózdi martinsalak felhasználása miatt kárt szenvedett lakóépületek tulajdonosainak kártalanítása</t>
  </si>
  <si>
    <t>Helyi szervezési intézkedésekhez kapcsolódó többletkiadások támogatása</t>
  </si>
  <si>
    <t>Határátkelőhelyek fenntartásának támogatása</t>
  </si>
  <si>
    <t>Kompok, révek fenntartásának, felújításának támogatása</t>
  </si>
  <si>
    <t>Lakossági víz- és csatornaszolgáltatás támogatása</t>
  </si>
  <si>
    <t>Lakossági közműfejlesztés támogatása</t>
  </si>
  <si>
    <t>23.</t>
  </si>
  <si>
    <t>22.</t>
  </si>
  <si>
    <t>21.</t>
  </si>
  <si>
    <t>20.</t>
  </si>
  <si>
    <t>19.</t>
  </si>
  <si>
    <t>18.</t>
  </si>
  <si>
    <t>17.</t>
  </si>
  <si>
    <t>16.</t>
  </si>
  <si>
    <t>VII.</t>
  </si>
  <si>
    <t>VI.</t>
  </si>
  <si>
    <t>15.</t>
  </si>
  <si>
    <t>14.</t>
  </si>
  <si>
    <t>13.</t>
  </si>
  <si>
    <t xml:space="preserve"> Személyi juttatások</t>
  </si>
  <si>
    <t>1. melléklet</t>
  </si>
  <si>
    <t>BEVÉTELEK</t>
  </si>
  <si>
    <t>Ezer forintban !</t>
  </si>
  <si>
    <t>Bevételi jogcím</t>
  </si>
  <si>
    <t>Kötelező feladatok</t>
  </si>
  <si>
    <t>Önként vállalt feladatok</t>
  </si>
  <si>
    <t>Állami (államigazgatási) feladatok</t>
  </si>
  <si>
    <t>2.1.</t>
  </si>
  <si>
    <t>2.2.</t>
  </si>
  <si>
    <t>2.2.1.</t>
  </si>
  <si>
    <t>2.2.2.</t>
  </si>
  <si>
    <t>3.1.</t>
  </si>
  <si>
    <t>3.2.</t>
  </si>
  <si>
    <t>3.3.</t>
  </si>
  <si>
    <t>4.1.</t>
  </si>
  <si>
    <t>4.2.</t>
  </si>
  <si>
    <t>4.3.</t>
  </si>
  <si>
    <t>4.4.</t>
  </si>
  <si>
    <t>4.5.</t>
  </si>
  <si>
    <t>8.1.</t>
  </si>
  <si>
    <t>8.2.</t>
  </si>
  <si>
    <t>8.3.</t>
  </si>
  <si>
    <t>9.1.</t>
  </si>
  <si>
    <t>9.2.</t>
  </si>
  <si>
    <t>9.3.</t>
  </si>
  <si>
    <t>9.4.</t>
  </si>
  <si>
    <t>12.1.</t>
  </si>
  <si>
    <t>12.2.</t>
  </si>
  <si>
    <t>13.1.</t>
  </si>
  <si>
    <t>13.2.</t>
  </si>
  <si>
    <t>13.3.</t>
  </si>
  <si>
    <t>15.1.</t>
  </si>
  <si>
    <t>15.2.</t>
  </si>
  <si>
    <t>KIADÁSOK</t>
  </si>
  <si>
    <t>1.1.</t>
  </si>
  <si>
    <t>1.2.</t>
  </si>
  <si>
    <t>2.3.</t>
  </si>
  <si>
    <t>2.4.</t>
  </si>
  <si>
    <t>2.5.</t>
  </si>
  <si>
    <t>2.6.</t>
  </si>
  <si>
    <t>6.1.</t>
  </si>
  <si>
    <t>6.2.</t>
  </si>
  <si>
    <t>KÖLTSÉGVETÉSI BEVÉTELEK ÉS KIADÁSOK EGYENLEGE</t>
  </si>
  <si>
    <t>FINANSZÍROZÁSI CÉLÚ BEVÉTELEK ÉS KIADÁSOK EGYENLEGE</t>
  </si>
  <si>
    <t>Éves engedélyezett létszám előirányzat (fő)</t>
  </si>
  <si>
    <t>Közfoglalkoztatottak létszáma (fő)</t>
  </si>
  <si>
    <t>Helyi önkormányzatok működésének általános támogatása (B111)</t>
  </si>
  <si>
    <t>Települési önkormányzatok egyes köznevelési feladatainak támogatása (B112)</t>
  </si>
  <si>
    <t>Települési önkormányzatok szociális és gyermekjóléti  feladatainak támogatása (B113)</t>
  </si>
  <si>
    <t>Települési önkormányzatok kulturális feladatainak támogatása (B114)</t>
  </si>
  <si>
    <t>Működési célú központosított előirányzatok (B115)</t>
  </si>
  <si>
    <t>Helyi önkormányzatok kiegészítő támogatásai (B116)</t>
  </si>
  <si>
    <t>Elvonások és befizetések bevételei (B12)</t>
  </si>
  <si>
    <t>Működési célú garancia- és kezességvállalásból származó megtérülések államháztartáson belülről (B13)</t>
  </si>
  <si>
    <t>Működési célú visszatérítendő támogatások, kölcsönök visszatérülése államháztartáson belülről (B14)</t>
  </si>
  <si>
    <t>Működési célú visszatérítendő támogatások, kölcsönök igénybevétele államháztartáson belülről (B15)</t>
  </si>
  <si>
    <t>Egyéb működési célú támogatások bevételei államháztartáson belülről (B16)</t>
  </si>
  <si>
    <t>Jövedelemadók (B31)</t>
  </si>
  <si>
    <t>Szociális hozzájárulási adó és járulékok (B32)</t>
  </si>
  <si>
    <t>Bérhez és foglalkoztatáshoz kapcsolódó adók (B33)</t>
  </si>
  <si>
    <t>Vagyoni tipusú adók  (B34)</t>
  </si>
  <si>
    <t>Termékek és szolgáltatások adói (B35)</t>
  </si>
  <si>
    <t>Áru- és készletértékesítés ellenértéke (B401)</t>
  </si>
  <si>
    <t>Szolgáltatások ellenértéke (B402)</t>
  </si>
  <si>
    <t>Közvetített szolgáltatások értéke (B403)</t>
  </si>
  <si>
    <t>Tulajdonosi bevételek (B404)</t>
  </si>
  <si>
    <t>Ellátási díjak (B405)</t>
  </si>
  <si>
    <t>Kiszámlázott általános forgalmi adó (B406)</t>
  </si>
  <si>
    <t>Általános forgalmi adó visszatérítése (B407)</t>
  </si>
  <si>
    <t>Kamatbevételek (B408)</t>
  </si>
  <si>
    <t>Egyéb pénzügyi műveletek bevételei (B409)</t>
  </si>
  <si>
    <t>Egyéb működési bevételek (B410)</t>
  </si>
  <si>
    <t>Működési célú garancia- és kezességvállalásból származó megtérülések államháztartáson kívülről (B61)</t>
  </si>
  <si>
    <t>Működési célú visszatérítendő támogatások, kölcsönök visszatérülése államháztartáson kívülről (B62)</t>
  </si>
  <si>
    <t>Egyéb működési célú átvett pénzeszközök (B63)</t>
  </si>
  <si>
    <t>Felhalmozási célú önkormányzati támogatások (B21)</t>
  </si>
  <si>
    <t>Felhalmozási célú garancia- és kezességvállalásból származó megtérülések államháztartáson belülről (B22)</t>
  </si>
  <si>
    <t>Felhalmozási célú visszatérítendő támogatások, kölcsönök visszatérülése államháztartáson belülről (B23)</t>
  </si>
  <si>
    <t>Felhalmozási célú visszatérítendő támogatások, kölcsönök igénybevétele államháztartáson belülről (B24)</t>
  </si>
  <si>
    <t>Egyéb felhalmozási célú támogatások bevételei államháztartáson belülről (B25)</t>
  </si>
  <si>
    <t>Immateriális javak értékesítése (B51)</t>
  </si>
  <si>
    <t>Ingatlanok értékesítése (B52)</t>
  </si>
  <si>
    <t>Egyéb tárgyi eszközök értékesítése (B53)</t>
  </si>
  <si>
    <t>Részesedések értékesítése (B54)</t>
  </si>
  <si>
    <t>Részesedések megszűnéséhez kapcsolódó bevételek (B55)</t>
  </si>
  <si>
    <t>Felhalmozási célú garancia- és kezességvállalásból származó megtérülések államháztartáson kívülről (B71)</t>
  </si>
  <si>
    <t>Felhalmozási célú visszatérítendő támogatások, kölcsönök visszatérülése államháztartáson kívülről (B72)</t>
  </si>
  <si>
    <t>Egyéb felhalmozási célú átvett pénzeszközök (B73)</t>
  </si>
  <si>
    <t>Foglalkoztatottak személyi juttatásai (K11)</t>
  </si>
  <si>
    <t>Külső személyi juttatások (K12)</t>
  </si>
  <si>
    <t>Készletbeszerzés (K31)</t>
  </si>
  <si>
    <t>Kommunikációs szolgáltatások (K32)</t>
  </si>
  <si>
    <t>Szolgáltatási kiadások (K33)</t>
  </si>
  <si>
    <t>Kiküldetések, reklám- és propagandakiadások (K34)</t>
  </si>
  <si>
    <t>Különféle befizetések és egyéb dologi kiadások (K35)</t>
  </si>
  <si>
    <t>Társadalombiztosítási ellátások (K41)</t>
  </si>
  <si>
    <t>Családi támogatások (K42)</t>
  </si>
  <si>
    <t>Pénzbeli kárpótlások, kártérítések (K43)</t>
  </si>
  <si>
    <t>Betegséggel kapcsolatos (nem társadalombiztosítási) ellátások (K44)</t>
  </si>
  <si>
    <t>Foglalkoztatással, munkanélküliséggel kapcsolatos ellátások (K45)</t>
  </si>
  <si>
    <t>Lakhatással kapcsolatos ellátások (K46)</t>
  </si>
  <si>
    <t>Intézményi ellátottak pénzbeli juttatásai (K47)</t>
  </si>
  <si>
    <t>Egyéb nem intézményi ellátások (K48)</t>
  </si>
  <si>
    <t>Nemzetközi kötelezettségek (K501)</t>
  </si>
  <si>
    <t>Elvonások és befizetések (K502)</t>
  </si>
  <si>
    <t>Működési célú garancia- és kezességvállalásból származó kifizetés államháztartáson belülre (K503)</t>
  </si>
  <si>
    <t>Működési célú visszatérítendő támogatások, kölcsönök nyújtása államháztartáson belülre (K504)</t>
  </si>
  <si>
    <t>Működési célú visszatérítendő támogatások, kölcsönök törlesztése államháztartáson belülre (K505)</t>
  </si>
  <si>
    <t>Egyéb működési célú támogatások államháztartáson belülre (K506)</t>
  </si>
  <si>
    <t>Működési célú garancia- és kezességvállalásból származó kifizetés államháztartáson kívülre (K507)</t>
  </si>
  <si>
    <t>Működési célú visszatérítendő támogatások, kölcsönök nyújtása államháztartáson kívülre (K508)</t>
  </si>
  <si>
    <t>Árkiegészítések, ártámogatások (K509)</t>
  </si>
  <si>
    <t>Kamattámogatások (K510)</t>
  </si>
  <si>
    <t>Egyéb működési célú támogatások államháztartáson kívülre (K511)</t>
  </si>
  <si>
    <t>Immateriális javak beszerzése, létesítése (K61)</t>
  </si>
  <si>
    <t>Ingatlanok beszerzése, létesítése (K62)</t>
  </si>
  <si>
    <t>Informatikai eszközök beszerzése, létesítése (K63)</t>
  </si>
  <si>
    <t>Egyéb tárgyi eszközök beszerzése, létesítése (K64)</t>
  </si>
  <si>
    <t>Részesedések beszerzése (K65)</t>
  </si>
  <si>
    <t>Meglévő részesedések növeléséhez kapcsolódó kiadások (K66)</t>
  </si>
  <si>
    <t>Beruházási célú előzetesen felszámított általános forgalmi adó (K67)</t>
  </si>
  <si>
    <t>Ingatlanok felújítása (K71)</t>
  </si>
  <si>
    <t>Informatikai eszközök felújítása (K72)</t>
  </si>
  <si>
    <t>Egyéb tárgyi eszközök felújítása  (K73)</t>
  </si>
  <si>
    <t>Felújítási célú előzetesen felszámított általános forgalmi adó (K74)</t>
  </si>
  <si>
    <t>Felhalmozási célú garancia- és kezességvállalásból származó kifizetés államháztartáson belülre (K81)</t>
  </si>
  <si>
    <t>Felhalmozási célú visszatérítendő támogatások, kölcsönök nyújtása államháztartáson belülre (K82)</t>
  </si>
  <si>
    <t>Felhalmozási célú visszatérítendő támogatások, kölcsönök törlesztése államháztartáson belülre (K83)</t>
  </si>
  <si>
    <t>Egyéb felhalmozási célú támogatások államháztartáson belülre (K84)</t>
  </si>
  <si>
    <t>Felhalmozási célú garancia- és kezességvállalásból származó kifizetés államháztartáson kívülre (K85)</t>
  </si>
  <si>
    <t>Felhalmozási célú visszatérítendő támogatások, kölcsönök nyújtása államháztartáson kívülre (K86)</t>
  </si>
  <si>
    <t>Lakástámogatás (K87)</t>
  </si>
  <si>
    <t>Egyéb felhalmozási célú támogatások államháztartáson kívülre  (K88)</t>
  </si>
  <si>
    <t>Hitel-, kölcsöntörlesztés államháztartáson kívülre (K911)</t>
  </si>
  <si>
    <t>Belföldi értékpapírok kiadásai (K912)</t>
  </si>
  <si>
    <t>Államháztartáson belüli megelőlegezések folyósítása (K913)</t>
  </si>
  <si>
    <t>Államháztartáson belüli megelőlegezések visszafizetése (K914)</t>
  </si>
  <si>
    <t>Központi, irányító szervi támogatások folyósítása (K915)</t>
  </si>
  <si>
    <t>Pénzügyi lízing kiadásai (K917)</t>
  </si>
  <si>
    <t>Központi költségvetés sajátos finanszírozási kiadásai (K918)</t>
  </si>
  <si>
    <t>Külföldi finanszírozás kiadásai (K92)</t>
  </si>
  <si>
    <t>Adóssághoz nem kapcsolódó származékos ügyletek kiadásai (K93)</t>
  </si>
  <si>
    <t>Pénzeszközök betétként elhelyezése (belső finanszírozás) (K916)</t>
  </si>
  <si>
    <t>3.4.</t>
  </si>
  <si>
    <t>3.5.</t>
  </si>
  <si>
    <t>6.3.</t>
  </si>
  <si>
    <t>6.4.</t>
  </si>
  <si>
    <t>6.5.</t>
  </si>
  <si>
    <t>7.1.</t>
  </si>
  <si>
    <t>7.2.</t>
  </si>
  <si>
    <t>7.3.</t>
  </si>
  <si>
    <t>7.4.</t>
  </si>
  <si>
    <t>7.5.</t>
  </si>
  <si>
    <t>2.1.1.</t>
  </si>
  <si>
    <t>2.1.2.</t>
  </si>
  <si>
    <t>2.1.3.</t>
  </si>
  <si>
    <t>2.1.4.</t>
  </si>
  <si>
    <t>2.1.5.</t>
  </si>
  <si>
    <t>2.1.6.</t>
  </si>
  <si>
    <t>12.1.1.</t>
  </si>
  <si>
    <t>12.1.2.</t>
  </si>
  <si>
    <t>12.1.3.</t>
  </si>
  <si>
    <t>12.1.4.</t>
  </si>
  <si>
    <t>12.1.5.</t>
  </si>
  <si>
    <t>12.1.6.</t>
  </si>
  <si>
    <t>12.1.8.</t>
  </si>
  <si>
    <t>12.3.</t>
  </si>
  <si>
    <t>12.1.7.</t>
  </si>
  <si>
    <t>13.1.1.</t>
  </si>
  <si>
    <t>13.1.2.</t>
  </si>
  <si>
    <t>13.1.3.</t>
  </si>
  <si>
    <t>13.1.4.</t>
  </si>
  <si>
    <t>13.1.5.</t>
  </si>
  <si>
    <t>13.1.6.</t>
  </si>
  <si>
    <t>13.1.7.</t>
  </si>
  <si>
    <t>13.1.8.</t>
  </si>
  <si>
    <t>15.1.1.</t>
  </si>
  <si>
    <t>15.1.2.</t>
  </si>
  <si>
    <t>15.1.3.</t>
  </si>
  <si>
    <t>15.1.4.</t>
  </si>
  <si>
    <t>15.1.5.</t>
  </si>
  <si>
    <t>15.1.6.</t>
  </si>
  <si>
    <t>15.1.7.</t>
  </si>
  <si>
    <t>15.1.8.</t>
  </si>
  <si>
    <t>15.3.</t>
  </si>
  <si>
    <t>4.6.</t>
  </si>
  <si>
    <t>4.7.</t>
  </si>
  <si>
    <t>4.8.</t>
  </si>
  <si>
    <t>4.9.</t>
  </si>
  <si>
    <t>4.10.</t>
  </si>
  <si>
    <t>5.1.</t>
  </si>
  <si>
    <t>5.2.</t>
  </si>
  <si>
    <t>5.3.</t>
  </si>
  <si>
    <t>8.4.</t>
  </si>
  <si>
    <t>8.5.</t>
  </si>
  <si>
    <t>14.1.</t>
  </si>
  <si>
    <t>14.1.1.</t>
  </si>
  <si>
    <t>14.1.2.</t>
  </si>
  <si>
    <t>14.1.3.</t>
  </si>
  <si>
    <t>14.1.4.</t>
  </si>
  <si>
    <t>14.1.5.</t>
  </si>
  <si>
    <t>14.1.6.</t>
  </si>
  <si>
    <t>14.1.7.</t>
  </si>
  <si>
    <t>14.1.8.</t>
  </si>
  <si>
    <t>14.2.</t>
  </si>
  <si>
    <t>14.3.</t>
  </si>
  <si>
    <t>Külföldi finanszírozás bevételei (B82)</t>
  </si>
  <si>
    <t>Adóssághoz nem kapcsolódó származékos ügyletek bevételei (B83)</t>
  </si>
  <si>
    <t>Központi költségvetés sajátos finanszírozási bevételei (B818)</t>
  </si>
  <si>
    <t>Hitel-, kölcsönfelvétel államháztartáson kívülről (B811)</t>
  </si>
  <si>
    <t>Belföldi értékpapírok bevételei (B812)</t>
  </si>
  <si>
    <t>Maradvány igénybevétele (belső finanszírozás) (B813)</t>
  </si>
  <si>
    <t>Államháztartáson belüli megelőlegezések (B814)</t>
  </si>
  <si>
    <t>Államháztartáson belüli megelőlegezések törlesztése (B815)</t>
  </si>
  <si>
    <t>Központi, irányító szervi támogatás (B816)</t>
  </si>
  <si>
    <t>Betétek megszüntetése (belső finanszírozás) (B817)</t>
  </si>
  <si>
    <t>a.</t>
  </si>
  <si>
    <t>b.</t>
  </si>
  <si>
    <t>c.</t>
  </si>
  <si>
    <t>I/2. Munkaadókat terhelő járulékok és szociális hozzájárulási adó (K2)</t>
  </si>
  <si>
    <t>5.4.</t>
  </si>
  <si>
    <t>5.5.</t>
  </si>
  <si>
    <t>5.6.</t>
  </si>
  <si>
    <t>5.7.</t>
  </si>
  <si>
    <t>5.8.</t>
  </si>
  <si>
    <t>6.6.</t>
  </si>
  <si>
    <t>6.7.</t>
  </si>
  <si>
    <t>6.8.</t>
  </si>
  <si>
    <t>6.9.</t>
  </si>
  <si>
    <t>6.10.</t>
  </si>
  <si>
    <t>6.11.</t>
  </si>
  <si>
    <t>6.12.</t>
  </si>
  <si>
    <t>8.6.</t>
  </si>
  <si>
    <t>8.7.</t>
  </si>
  <si>
    <t>10.1.</t>
  </si>
  <si>
    <t>10.2.</t>
  </si>
  <si>
    <t>10.3.</t>
  </si>
  <si>
    <t>10.4.</t>
  </si>
  <si>
    <t>10.5.</t>
  </si>
  <si>
    <t>10.6.</t>
  </si>
  <si>
    <t>10.7.</t>
  </si>
  <si>
    <t>10.8.</t>
  </si>
  <si>
    <t>2. táblázat</t>
  </si>
  <si>
    <t>1. táblázat</t>
  </si>
  <si>
    <t>Ezer forintban!</t>
  </si>
  <si>
    <t>3. táblázat</t>
  </si>
  <si>
    <t>4. táblázat</t>
  </si>
  <si>
    <t>5. táblázat</t>
  </si>
  <si>
    <t>Működési célú belső finanszírozási műveletek bevételei [=1. melléklet 1. táblázat 12.1.3.+12.1.7. sor]</t>
  </si>
  <si>
    <t>Működési célú külső finanszírozási műveletek bevételei [=1. melléklet 1. táblázat 12.1.1.+12.1.2.+12.1.4+…+12.1.6.+12.1.8. sor]</t>
  </si>
  <si>
    <t>Működési célú belső finanszírozási műveletek kiadásai (belső finanszírozás) [=1. melléklet 2. táblázat 13.1.6. sor]</t>
  </si>
  <si>
    <t>Működési célú külső finanszírozási műveletek kiadásai [=1. melléklet 2. táblázat 13.1.1.+…+13.1.5.+13.1.7.+13.1.8. sor]</t>
  </si>
  <si>
    <t>Felhalmozási célú belső finanszírozási műveletek kiadásai (belső finanszírozás) [=1. melléklet 2. táblázat 15.1.6. sor]</t>
  </si>
  <si>
    <t>Felhalmozási célú külső finanszírozási műveletek kiadásai [=1. melléklet 2. táblázat 15.1.1.+…+15.1.5.+15.1.7.+15.1.8. sor]</t>
  </si>
  <si>
    <t>Felhalmozási célú belső finanszírozási műveletek bevételei [=1. melléklet 1. táblázat 14.1.3.+14.1.7. sor]</t>
  </si>
  <si>
    <t>Felhalmozási célú külső finanszírozási műveletek bevételei [=1. melléklet 1. táblázat 14.1.1.+14.1.2.+14.1.4+…+14.1.6.+14.1.8. sor]</t>
  </si>
  <si>
    <t>3.1.1.</t>
  </si>
  <si>
    <t>3.1.2.</t>
  </si>
  <si>
    <t>3.2.1.</t>
  </si>
  <si>
    <t>3.2.2.</t>
  </si>
  <si>
    <r>
      <t xml:space="preserve">I. Működési költségvetés bevételei </t>
    </r>
    <r>
      <rPr>
        <b/>
        <i/>
        <sz val="9"/>
        <rFont val="Times New Roman"/>
        <family val="1"/>
      </rPr>
      <t>[=2.+...+5.]</t>
    </r>
  </si>
  <si>
    <r>
      <t xml:space="preserve">I/1. Működési célú támogatások államháztartáson belülről (B1) </t>
    </r>
    <r>
      <rPr>
        <b/>
        <i/>
        <sz val="9"/>
        <rFont val="Times New Roman"/>
        <family val="1"/>
      </rPr>
      <t>[=2.1.+…+2.6.]</t>
    </r>
  </si>
  <si>
    <r>
      <t xml:space="preserve">Önkormányzatok működési támogatásai (B11) </t>
    </r>
    <r>
      <rPr>
        <i/>
        <sz val="9"/>
        <rFont val="Times New Roman"/>
        <family val="1"/>
      </rPr>
      <t>[=2.1.1.+…+2.1.6.]</t>
    </r>
  </si>
  <si>
    <r>
      <t xml:space="preserve">I/3. Működési bevételek (B4) </t>
    </r>
    <r>
      <rPr>
        <b/>
        <i/>
        <sz val="9"/>
        <rFont val="Times New Roman"/>
        <family val="1"/>
      </rPr>
      <t>[=4.1.+…+4.10.]</t>
    </r>
  </si>
  <si>
    <r>
      <t xml:space="preserve">I/4. Működési célú átvett pénzeszközök (B6) </t>
    </r>
    <r>
      <rPr>
        <b/>
        <i/>
        <sz val="9"/>
        <rFont val="Times New Roman"/>
        <family val="1"/>
      </rPr>
      <t>[=5.1.+…+5.3.]</t>
    </r>
  </si>
  <si>
    <r>
      <t xml:space="preserve">II. Felhalmozási költségvetés bevételei </t>
    </r>
    <r>
      <rPr>
        <b/>
        <i/>
        <sz val="9"/>
        <rFont val="Times New Roman"/>
        <family val="1"/>
      </rPr>
      <t>[=7.+…+9.]</t>
    </r>
  </si>
  <si>
    <r>
      <t xml:space="preserve">II/1. Felhalmozási célú támogatások államháztartáson belülről (B2) </t>
    </r>
    <r>
      <rPr>
        <b/>
        <i/>
        <sz val="9"/>
        <rFont val="Times New Roman"/>
        <family val="1"/>
      </rPr>
      <t>[=7.1.+…+7.5.]</t>
    </r>
  </si>
  <si>
    <r>
      <t xml:space="preserve">II/2. Felhalmozási bevételek (B5) </t>
    </r>
    <r>
      <rPr>
        <b/>
        <i/>
        <sz val="9"/>
        <rFont val="Times New Roman"/>
        <family val="1"/>
      </rPr>
      <t>[=8.1.+…+8.5.]</t>
    </r>
  </si>
  <si>
    <r>
      <t xml:space="preserve">II/3.Felhalmozási célú átvett pénzeszközök (B7) </t>
    </r>
    <r>
      <rPr>
        <b/>
        <i/>
        <sz val="9"/>
        <rFont val="Times New Roman"/>
        <family val="1"/>
      </rPr>
      <t>[9.1.+…+9.3.]</t>
    </r>
  </si>
  <si>
    <r>
      <t xml:space="preserve">KÖLTSÉGVETÉSI BEVÉTELEK ÖSSZESEN </t>
    </r>
    <r>
      <rPr>
        <b/>
        <i/>
        <sz val="9"/>
        <rFont val="Times New Roman"/>
        <family val="1"/>
      </rPr>
      <t>[=1.+6.]</t>
    </r>
  </si>
  <si>
    <r>
      <t xml:space="preserve">III. Működési finanszírozási bevételek (B81) </t>
    </r>
    <r>
      <rPr>
        <b/>
        <i/>
        <sz val="9"/>
        <rFont val="Times New Roman"/>
        <family val="1"/>
      </rPr>
      <t>[=12.]</t>
    </r>
  </si>
  <si>
    <r>
      <t xml:space="preserve">III/1. Működési célú finanszírozási bevételek (B81) </t>
    </r>
    <r>
      <rPr>
        <b/>
        <i/>
        <sz val="9"/>
        <rFont val="Times New Roman"/>
        <family val="1"/>
      </rPr>
      <t>[=12.1.+…+12.3.]</t>
    </r>
  </si>
  <si>
    <r>
      <t xml:space="preserve">Belföldi finanszírozás bevételei (B81) </t>
    </r>
    <r>
      <rPr>
        <i/>
        <sz val="9"/>
        <rFont val="Times New Roman"/>
        <family val="1"/>
      </rPr>
      <t>[=12.1.1.+…+12.1.8.]</t>
    </r>
  </si>
  <si>
    <r>
      <t xml:space="preserve">IV. Felhalmozási finanszírozási bevételek (B81) </t>
    </r>
    <r>
      <rPr>
        <b/>
        <i/>
        <sz val="9"/>
        <rFont val="Times New Roman"/>
        <family val="1"/>
      </rPr>
      <t>[=14.]</t>
    </r>
  </si>
  <si>
    <r>
      <t xml:space="preserve">IV/1. Felhalmozási célú finanszírozási bevételek (B81) </t>
    </r>
    <r>
      <rPr>
        <b/>
        <i/>
        <sz val="9"/>
        <rFont val="Times New Roman"/>
        <family val="1"/>
      </rPr>
      <t>[=14.1.+…+14.3.]</t>
    </r>
  </si>
  <si>
    <r>
      <t xml:space="preserve">Belföldi finanszírozás bevételei (B811) </t>
    </r>
    <r>
      <rPr>
        <i/>
        <sz val="9"/>
        <rFont val="Times New Roman"/>
        <family val="1"/>
      </rPr>
      <t>[=14.1.1.+…+14.1.8.]</t>
    </r>
  </si>
  <si>
    <r>
      <t xml:space="preserve">FINANSZÍROZÁSI BEVÉTELEK ÖSSZESEN (B8) </t>
    </r>
    <r>
      <rPr>
        <b/>
        <i/>
        <sz val="9"/>
        <rFont val="Times New Roman"/>
        <family val="1"/>
      </rPr>
      <t>[=11.+13.]</t>
    </r>
  </si>
  <si>
    <r>
      <t xml:space="preserve">BEVÉTELEK MINDÖSSZESEN </t>
    </r>
    <r>
      <rPr>
        <b/>
        <i/>
        <sz val="9"/>
        <rFont val="Times New Roman"/>
        <family val="1"/>
      </rPr>
      <t>[=10.+15.]</t>
    </r>
  </si>
  <si>
    <r>
      <t xml:space="preserve">I. Működési költségvetés kiadásai </t>
    </r>
    <r>
      <rPr>
        <b/>
        <i/>
        <sz val="9"/>
        <rFont val="Times New Roman"/>
        <family val="1"/>
      </rPr>
      <t>[=2.+...+6.]</t>
    </r>
  </si>
  <si>
    <r>
      <t xml:space="preserve">I/1. Személyi juttatások (K1) </t>
    </r>
    <r>
      <rPr>
        <b/>
        <i/>
        <sz val="9"/>
        <rFont val="Times New Roman"/>
        <family val="1"/>
      </rPr>
      <t>[=2.1.+2.2.]</t>
    </r>
  </si>
  <si>
    <r>
      <t xml:space="preserve">I/4. Ellátottak pénzbeli juttatásai (K4) </t>
    </r>
    <r>
      <rPr>
        <b/>
        <i/>
        <sz val="9"/>
        <rFont val="Times New Roman"/>
        <family val="1"/>
      </rPr>
      <t>[=5.1.+…+5.8.]</t>
    </r>
  </si>
  <si>
    <r>
      <t xml:space="preserve">I/5. Egyéb működési célú kiadások (K5) </t>
    </r>
    <r>
      <rPr>
        <b/>
        <i/>
        <sz val="9"/>
        <rFont val="Times New Roman"/>
        <family val="1"/>
      </rPr>
      <t>[=6.1.+…+6.12.]</t>
    </r>
  </si>
  <si>
    <r>
      <t xml:space="preserve">II. Felhalmozási költségvetés kiadásai </t>
    </r>
    <r>
      <rPr>
        <b/>
        <i/>
        <sz val="9"/>
        <rFont val="Times New Roman"/>
        <family val="1"/>
      </rPr>
      <t>[=8.+…+10.]</t>
    </r>
  </si>
  <si>
    <r>
      <t xml:space="preserve">II/1. Beruházások (K6) </t>
    </r>
    <r>
      <rPr>
        <b/>
        <i/>
        <sz val="9"/>
        <rFont val="Times New Roman"/>
        <family val="1"/>
      </rPr>
      <t>[=8.1.+…+8.7.]</t>
    </r>
  </si>
  <si>
    <r>
      <t xml:space="preserve">II/2. Felújítások (K7) </t>
    </r>
    <r>
      <rPr>
        <b/>
        <i/>
        <sz val="9"/>
        <rFont val="Times New Roman"/>
        <family val="1"/>
      </rPr>
      <t>[9.1.+…+9.4.]</t>
    </r>
  </si>
  <si>
    <r>
      <t xml:space="preserve">II/3. Egyéb felhalmozási célú kiadások (K8) </t>
    </r>
    <r>
      <rPr>
        <b/>
        <i/>
        <sz val="9"/>
        <rFont val="Times New Roman"/>
        <family val="1"/>
      </rPr>
      <t>[=10.1.+…+10.8.]</t>
    </r>
  </si>
  <si>
    <r>
      <t xml:space="preserve">KÖLTSÉGVETÉSI KIADÁSOK ÖSSZESEN </t>
    </r>
    <r>
      <rPr>
        <b/>
        <i/>
        <sz val="9"/>
        <rFont val="Times New Roman"/>
        <family val="1"/>
      </rPr>
      <t>[=1.+7.]</t>
    </r>
  </si>
  <si>
    <r>
      <t xml:space="preserve">III. Működési finanszírozási kiadások (K91) </t>
    </r>
    <r>
      <rPr>
        <b/>
        <i/>
        <sz val="9"/>
        <rFont val="Times New Roman"/>
        <family val="1"/>
      </rPr>
      <t>[=12.]</t>
    </r>
  </si>
  <si>
    <r>
      <t xml:space="preserve">III/1. Működési célú finanszírozási kiadások (K91) </t>
    </r>
    <r>
      <rPr>
        <b/>
        <i/>
        <sz val="9"/>
        <rFont val="Times New Roman"/>
        <family val="1"/>
      </rPr>
      <t>[=12.1.+…+12.3.]</t>
    </r>
  </si>
  <si>
    <r>
      <t xml:space="preserve">IV. Felhalmozási finanszírozási kiadások (K91) </t>
    </r>
    <r>
      <rPr>
        <b/>
        <i/>
        <sz val="9"/>
        <rFont val="Times New Roman"/>
        <family val="1"/>
      </rPr>
      <t>[=15.]</t>
    </r>
  </si>
  <si>
    <r>
      <t xml:space="preserve">IV/1. Felhalmozási célú finanszírozási kiadások (K91) </t>
    </r>
    <r>
      <rPr>
        <b/>
        <i/>
        <sz val="9"/>
        <rFont val="Times New Roman"/>
        <family val="1"/>
      </rPr>
      <t>[=15.1.+…+15.3.]</t>
    </r>
  </si>
  <si>
    <r>
      <t xml:space="preserve">Belföldi finanszírozás kiadásai (K91) </t>
    </r>
    <r>
      <rPr>
        <i/>
        <sz val="9"/>
        <rFont val="Times New Roman"/>
        <family val="1"/>
      </rPr>
      <t>[=15.1.1.+…+15.1.8.]</t>
    </r>
  </si>
  <si>
    <r>
      <t xml:space="preserve">FINANSZÍROZÁSI KIADÁSOK ÖSSZESEN (K9) </t>
    </r>
    <r>
      <rPr>
        <b/>
        <i/>
        <sz val="9"/>
        <rFont val="Times New Roman"/>
        <family val="1"/>
      </rPr>
      <t>[=12.+14.]</t>
    </r>
  </si>
  <si>
    <r>
      <t xml:space="preserve">KÖLTSÉGVETÉSI HIÁNY, TÖBBLET (+/-) </t>
    </r>
    <r>
      <rPr>
        <b/>
        <i/>
        <sz val="9"/>
        <rFont val="Times New Roman"/>
        <family val="1"/>
      </rPr>
      <t>[=1.1.+1.2.]</t>
    </r>
  </si>
  <si>
    <r>
      <t xml:space="preserve">Működési célú költségvetési hiány, többlet (+/-) </t>
    </r>
    <r>
      <rPr>
        <i/>
        <sz val="9"/>
        <rFont val="Times New Roman"/>
        <family val="1"/>
      </rPr>
      <t>[=1. melléklet 1. táblázat 1. sor - 1. melléklet 2. táblázat 1. sor]</t>
    </r>
  </si>
  <si>
    <r>
      <t xml:space="preserve">Felhalmozási célú költségvetési hiány, többlet (+/-) </t>
    </r>
    <r>
      <rPr>
        <i/>
        <sz val="9"/>
        <rFont val="Times New Roman"/>
        <family val="1"/>
      </rPr>
      <t>[=1. melléklet 1. táblázat 6. sor - 1. melléklet 2. táblázat 7. sor]</t>
    </r>
  </si>
  <si>
    <r>
      <t xml:space="preserve">FINANSZÍROZÁSI MŰVELETEK EGYENLEGE (+/-) </t>
    </r>
    <r>
      <rPr>
        <b/>
        <i/>
        <sz val="9"/>
        <rFont val="Times New Roman"/>
        <family val="1"/>
      </rPr>
      <t>[=2.+3.]</t>
    </r>
  </si>
  <si>
    <r>
      <t xml:space="preserve">Működési finanszírozási műveletek egyenlege (+/-) </t>
    </r>
    <r>
      <rPr>
        <b/>
        <i/>
        <sz val="9"/>
        <rFont val="Times New Roman"/>
        <family val="1"/>
      </rPr>
      <t>[=2.1.-2.2.]</t>
    </r>
  </si>
  <si>
    <r>
      <t xml:space="preserve">Működési finanszírozási műveletek bevételei </t>
    </r>
    <r>
      <rPr>
        <i/>
        <sz val="9"/>
        <rFont val="Times New Roman"/>
        <family val="1"/>
      </rPr>
      <t>[=2.1.1.+2.1.2.]</t>
    </r>
  </si>
  <si>
    <r>
      <t xml:space="preserve">Működési finanszírozási műveletek kiadásai </t>
    </r>
    <r>
      <rPr>
        <i/>
        <sz val="9"/>
        <rFont val="Times New Roman"/>
        <family val="1"/>
      </rPr>
      <t>[=2.2.1.+2.2.2.]</t>
    </r>
  </si>
  <si>
    <r>
      <t xml:space="preserve">Felhalmozási finanszírozási műveletek egyenlege (+/-) </t>
    </r>
    <r>
      <rPr>
        <b/>
        <i/>
        <sz val="9"/>
        <rFont val="Times New Roman"/>
        <family val="1"/>
      </rPr>
      <t>[=3.1-3.2.]</t>
    </r>
  </si>
  <si>
    <r>
      <t xml:space="preserve">Felhalmozási finanszírozási műveletek bevételei </t>
    </r>
    <r>
      <rPr>
        <i/>
        <sz val="9"/>
        <rFont val="Times New Roman"/>
        <family val="1"/>
      </rPr>
      <t>[=3.1.1.+3.1.2.]</t>
    </r>
  </si>
  <si>
    <r>
      <t xml:space="preserve">Felhalmozási finanszírozási műveletek kiadásai </t>
    </r>
    <r>
      <rPr>
        <i/>
        <sz val="9"/>
        <rFont val="Times New Roman"/>
        <family val="1"/>
      </rPr>
      <t>[=3.2.1.+3.2.2.]</t>
    </r>
  </si>
  <si>
    <r>
      <t xml:space="preserve">Bevételi jogcím (rovatszám) </t>
    </r>
    <r>
      <rPr>
        <b/>
        <i/>
        <sz val="9"/>
        <rFont val="Times New Roman"/>
        <family val="1"/>
      </rPr>
      <t>[képlet]</t>
    </r>
  </si>
  <si>
    <r>
      <t>Kiadási jogcím (rovatszám)</t>
    </r>
    <r>
      <rPr>
        <b/>
        <i/>
        <sz val="9"/>
        <rFont val="Times New Roman"/>
        <family val="1"/>
      </rPr>
      <t xml:space="preserve"> [képlet]</t>
    </r>
  </si>
  <si>
    <r>
      <t>MINDÖSSZESEN LÉTSZÁM (fő)</t>
    </r>
    <r>
      <rPr>
        <b/>
        <i/>
        <sz val="9"/>
        <rFont val="Times New Roman"/>
        <family val="1"/>
      </rPr>
      <t xml:space="preserve"> [=1.+2.]</t>
    </r>
  </si>
  <si>
    <t>2014. ÉVI ÖSSZESÍTETT KÖLTSÉGVETÉSI MÉRLEGE</t>
  </si>
  <si>
    <t>HEVES VÁROS ÖNKORMÁNYZATA ÉS KÖLTSÉGVETÉSI SZERVEI</t>
  </si>
  <si>
    <t xml:space="preserve"> 2014. ÉVI LÉTSZÁMKERET</t>
  </si>
  <si>
    <t>2.6.a.</t>
  </si>
  <si>
    <t>- ebből: Működési célú  fejezeti kezelésű előirányzatok EU-s programok és azok hazai társfinanszírozása (B16)</t>
  </si>
  <si>
    <t>7.5.a.</t>
  </si>
  <si>
    <t>6.12.1.</t>
  </si>
  <si>
    <t>6.1.2.2.</t>
  </si>
  <si>
    <t>Általános tartalék (K512)</t>
  </si>
  <si>
    <r>
      <t>Tartalékok (K512)</t>
    </r>
    <r>
      <rPr>
        <i/>
        <sz val="9"/>
        <rFont val="Times New Roman"/>
        <family val="1"/>
      </rPr>
      <t xml:space="preserve"> [=6.12.1.+6.12.2.]</t>
    </r>
  </si>
  <si>
    <r>
      <t xml:space="preserve">KIADÁSOK MINDÖSSZESEN </t>
    </r>
    <r>
      <rPr>
        <b/>
        <i/>
        <sz val="9"/>
        <rFont val="Times New Roman"/>
        <family val="1"/>
      </rPr>
      <t>[=11.+16.]</t>
    </r>
  </si>
  <si>
    <t>6.6.a.</t>
  </si>
  <si>
    <t>- ebből: Működési célú  fejezeti kezelésű előirányzatok EU-s programok és azok hazai társfinanszírozása (K506)</t>
  </si>
  <si>
    <t>- ebből: Felhalmozási célú  fejezeti kezelésű előirányzatok EU-s programok és azok hazai társfinanszírozása (B25)</t>
  </si>
  <si>
    <t>10.4.a.</t>
  </si>
  <si>
    <t>- ebből: Felhalmozási célú  fejezeti kezelésű előirányzatok EU-s programok és azok hazai társfinanszírozása (K84)</t>
  </si>
  <si>
    <t>Céltartalék (K512)</t>
  </si>
  <si>
    <t>4.a.</t>
  </si>
  <si>
    <t>- ebből: EU-s forrásból finanszírozott támogatással megvalósuló programok, projektek beruházási kiadásai (K6)</t>
  </si>
  <si>
    <r>
      <t xml:space="preserve">I/3. Dologi kiadások (K3) </t>
    </r>
    <r>
      <rPr>
        <b/>
        <i/>
        <sz val="9"/>
        <rFont val="Times New Roman"/>
        <family val="1"/>
      </rPr>
      <t>[=4.1.+…+4.5.]</t>
    </r>
  </si>
  <si>
    <t>9.a.</t>
  </si>
  <si>
    <t>- ebből: EU-s forrásból finanszírozott támogatással megvalósuló programok, projektek felújítási kiadásai (K7)</t>
  </si>
  <si>
    <t>3.a.</t>
  </si>
  <si>
    <t>- ebből: EU-s forrásból finanszírozott támogatással megvalósuló programok, projektek járulék kiadásai (K2)</t>
  </si>
  <si>
    <t>- ebből: EU-s forrásból finanszírozott támogatással megvalósuló programok, projektek dologi kiadásai (K3)</t>
  </si>
  <si>
    <t>2.a.</t>
  </si>
  <si>
    <t>- ebből: EU-s forrásból finanszírozott támogatással megvalósuló programok, projektek személyi juttatás kiadásai (K1)</t>
  </si>
  <si>
    <t>1.a.</t>
  </si>
  <si>
    <t>- ebből: EU-s forrásból finanszírozott támogatással megvalósuló programok, projekteklétszáma</t>
  </si>
  <si>
    <t>1.1. melléklet</t>
  </si>
  <si>
    <t>HEVES VÁROS ÖNKORMÁNYZATA</t>
  </si>
  <si>
    <t>2014. ÉVI KÖLTSÉGVETÉSI MÉRLEGE</t>
  </si>
  <si>
    <t>HEVESI POLGÁRMESTERI HIVATAL</t>
  </si>
  <si>
    <t>1.2. melléklet</t>
  </si>
  <si>
    <t>1.3. melléklet</t>
  </si>
  <si>
    <t>HEVES VÁROSI ÓVODÁK ÉS BÖLCSŐDE KÖZNEVELÉSI INTÉZMÉNY</t>
  </si>
  <si>
    <t>1.4. melléklet</t>
  </si>
  <si>
    <t>HEVESI KULTURÁLIS KÖZPONT</t>
  </si>
  <si>
    <t>2014. évi előirányzat</t>
  </si>
  <si>
    <t>6.a.</t>
  </si>
  <si>
    <t>d.</t>
  </si>
  <si>
    <t>e.</t>
  </si>
  <si>
    <t>8.1.1.</t>
  </si>
  <si>
    <t>8.1.2.</t>
  </si>
  <si>
    <t>8.1.3.</t>
  </si>
  <si>
    <t>8.1.4.</t>
  </si>
  <si>
    <t>8.1.5.</t>
  </si>
  <si>
    <t>8.1.6.</t>
  </si>
  <si>
    <t>8.1.7.</t>
  </si>
  <si>
    <t>8.1.8.</t>
  </si>
  <si>
    <r>
      <t xml:space="preserve">Működési költségvetés bevételei </t>
    </r>
    <r>
      <rPr>
        <b/>
        <i/>
        <sz val="9"/>
        <rFont val="Times New Roman"/>
        <family val="1"/>
      </rPr>
      <t>[=2.+...+5.]</t>
    </r>
  </si>
  <si>
    <r>
      <t xml:space="preserve">Működési költségvetés kiadásai </t>
    </r>
    <r>
      <rPr>
        <b/>
        <i/>
        <sz val="9"/>
        <rFont val="Times New Roman"/>
        <family val="1"/>
      </rPr>
      <t>[=2.+...+6.]</t>
    </r>
  </si>
  <si>
    <t>Munkaadókat terhelő járulékok és szociális hozzájárulási adó (K2)</t>
  </si>
  <si>
    <t>Működési célú támogatások államháztartáson belülről (B1)</t>
  </si>
  <si>
    <t>Közhatalmi bevételek (B3)</t>
  </si>
  <si>
    <t>Működési bevételek (B4)</t>
  </si>
  <si>
    <t>Működési célú átvett pénzeszközök (B6)</t>
  </si>
  <si>
    <r>
      <t xml:space="preserve">Működési finanszírozási bevételek (B81) </t>
    </r>
    <r>
      <rPr>
        <b/>
        <i/>
        <sz val="9"/>
        <rFont val="Times New Roman"/>
        <family val="1"/>
      </rPr>
      <t>[=8.]</t>
    </r>
  </si>
  <si>
    <r>
      <t xml:space="preserve">Működési célú finanszírozási bevételek (B81) </t>
    </r>
    <r>
      <rPr>
        <i/>
        <sz val="9"/>
        <rFont val="Times New Roman"/>
        <family val="1"/>
      </rPr>
      <t>[=8.1.+…+8.3.]</t>
    </r>
  </si>
  <si>
    <r>
      <t xml:space="preserve">Belföldi finanszírozás bevételei (B81) </t>
    </r>
    <r>
      <rPr>
        <i/>
        <sz val="9"/>
        <rFont val="Times New Roman"/>
        <family val="1"/>
      </rPr>
      <t>[=8.1.1.+…+8.1.8.]</t>
    </r>
  </si>
  <si>
    <t>Személyi juttatások (K1)</t>
  </si>
  <si>
    <t>Dologi kiadások (K3)</t>
  </si>
  <si>
    <t>Ellátottak pénzbeli juttatásai (K4)</t>
  </si>
  <si>
    <t>Egyéb működési célú kiadások (K5)</t>
  </si>
  <si>
    <r>
      <t xml:space="preserve">Működési finanszírozási kiadások (K91) </t>
    </r>
    <r>
      <rPr>
        <b/>
        <i/>
        <sz val="9"/>
        <rFont val="Times New Roman"/>
        <family val="1"/>
      </rPr>
      <t>[=8.]</t>
    </r>
  </si>
  <si>
    <r>
      <t xml:space="preserve">Működési célú finanszírozási kiadások (K91) </t>
    </r>
    <r>
      <rPr>
        <i/>
        <sz val="9"/>
        <rFont val="Times New Roman"/>
        <family val="1"/>
      </rPr>
      <t>[=8.1.+…+8.3.]</t>
    </r>
  </si>
  <si>
    <r>
      <t xml:space="preserve">Belföldi finanszírozás kiadásai (K91) </t>
    </r>
    <r>
      <rPr>
        <i/>
        <sz val="9"/>
        <rFont val="Times New Roman"/>
        <family val="1"/>
      </rPr>
      <t>[=13.1.1.+…+13.1.8.]</t>
    </r>
  </si>
  <si>
    <r>
      <t xml:space="preserve">Belföldi finanszírozás kiadásai (K91) </t>
    </r>
    <r>
      <rPr>
        <i/>
        <sz val="9"/>
        <rFont val="Times New Roman"/>
        <family val="1"/>
      </rPr>
      <t>[=8.1.1.+…+8.1.8.]</t>
    </r>
  </si>
  <si>
    <r>
      <t xml:space="preserve">MŰKÖDÉSI BEVÉTELEK MINDÖSSZESEN </t>
    </r>
    <r>
      <rPr>
        <b/>
        <i/>
        <sz val="9"/>
        <rFont val="Times New Roman"/>
        <family val="1"/>
      </rPr>
      <t>[=1.+7.]</t>
    </r>
  </si>
  <si>
    <t>Működési költségvetési hiány</t>
  </si>
  <si>
    <t>Működési költségvetési többlet</t>
  </si>
  <si>
    <r>
      <t xml:space="preserve">MŰKÖDÉSI KIADÁSOK MINDÖSSZESEN </t>
    </r>
    <r>
      <rPr>
        <b/>
        <i/>
        <sz val="9"/>
        <rFont val="Times New Roman"/>
        <family val="1"/>
      </rPr>
      <t>[=1.+7.]</t>
    </r>
  </si>
  <si>
    <t>2014. ÉVI MŰKÖDÉSI CÉLÚ BEVÉTELEK ÉS KIADÁSOK MÉRLEGE</t>
  </si>
  <si>
    <t>2.a. melléklet</t>
  </si>
  <si>
    <t>Működési finanszírozási műveletek egyenleg (-)</t>
  </si>
  <si>
    <t>Működési finanszírozási műveletek egyenleg (+)</t>
  </si>
  <si>
    <t>2.b. melléklet</t>
  </si>
  <si>
    <t>2014. ÉVI FELHALMOZÁSI CÉLÚ BEVÉTELEK ÉS KIADÁSOK MÉRLEGE</t>
  </si>
  <si>
    <r>
      <t xml:space="preserve">Felhalmozási finanszírozási bevételek (B81) </t>
    </r>
    <r>
      <rPr>
        <b/>
        <i/>
        <sz val="9"/>
        <rFont val="Times New Roman"/>
        <family val="1"/>
      </rPr>
      <t>[=8.]</t>
    </r>
  </si>
  <si>
    <r>
      <t xml:space="preserve">FELHALMOZÁSI BEVÉTELEK MINDÖSSZESEN </t>
    </r>
    <r>
      <rPr>
        <b/>
        <i/>
        <sz val="9"/>
        <rFont val="Times New Roman"/>
        <family val="1"/>
      </rPr>
      <t>[=1.+7.]</t>
    </r>
  </si>
  <si>
    <t>Felhalmozási finanszírozási műveletek egyenleg (-)</t>
  </si>
  <si>
    <t>Felhalmozási finanszírozási műveletek egyenleg (+)</t>
  </si>
  <si>
    <t>Felhalmozási költségvetési többlet</t>
  </si>
  <si>
    <r>
      <t xml:space="preserve">FELHALMOZÁSI KIADÁSOK MINDÖSSZESEN </t>
    </r>
    <r>
      <rPr>
        <b/>
        <i/>
        <sz val="9"/>
        <rFont val="Times New Roman"/>
        <family val="1"/>
      </rPr>
      <t>[=1.+7.]</t>
    </r>
  </si>
  <si>
    <r>
      <t xml:space="preserve">Felhalmozási finanszírozási kiadások (K91) </t>
    </r>
    <r>
      <rPr>
        <b/>
        <i/>
        <sz val="9"/>
        <rFont val="Times New Roman"/>
        <family val="1"/>
      </rPr>
      <t>[=8.]</t>
    </r>
  </si>
  <si>
    <t>Felhalmozási célú támogatások államháztartáson belülről (B2)</t>
  </si>
  <si>
    <t>Felhalmozási bevételek (B5)</t>
  </si>
  <si>
    <t>Felhalmozási célú átvett pénzeszközök (B7)</t>
  </si>
  <si>
    <r>
      <t xml:space="preserve">Felhalmozási költségvetés bevételei </t>
    </r>
    <r>
      <rPr>
        <b/>
        <i/>
        <sz val="9"/>
        <rFont val="Times New Roman"/>
        <family val="1"/>
      </rPr>
      <t>[=2.+...+4.]</t>
    </r>
  </si>
  <si>
    <t>Belföldi finanszírozás bevételei (B811) [=14.1.1.+…+14.1.8.]</t>
  </si>
  <si>
    <t>Felhalmozási célú finanszírozási bevételek (B81) [=14.1.+…+14.3.]</t>
  </si>
  <si>
    <t>Belföldi finanszírozás kiadásai (K91) [=15.1.1.+…+15.1.8.]</t>
  </si>
  <si>
    <t>Felhalmozási célú finanszírozási kiadások (K91) [=15.1.+…+15.3.]</t>
  </si>
  <si>
    <r>
      <t xml:space="preserve">Felhalmozási költségvetés kiadásai </t>
    </r>
    <r>
      <rPr>
        <b/>
        <i/>
        <sz val="9"/>
        <rFont val="Times New Roman"/>
        <family val="1"/>
      </rPr>
      <t>[=2.+...+4.]</t>
    </r>
  </si>
  <si>
    <t>Beruházások (K6)</t>
  </si>
  <si>
    <t>Felújítások (K7)</t>
  </si>
  <si>
    <t>Egyéb felhalmozási célú kiadások (K8)</t>
  </si>
  <si>
    <t>Felhalmozás költségvetési hiány</t>
  </si>
  <si>
    <t>Köztisztviselő</t>
  </si>
  <si>
    <t>Közalkalmazott</t>
  </si>
  <si>
    <t>Munka Törvénykönyv hatálya alá tartozó</t>
  </si>
  <si>
    <t>Heves Város Önkormányzata kötelező feladatok</t>
  </si>
  <si>
    <t>Heves Város Önkormányzata önként vállalt feladatok</t>
  </si>
  <si>
    <t>Heves Város Önkormányzata állami (államigazgatási) feladatok</t>
  </si>
  <si>
    <t>Heves Város Önkormányzata összesen</t>
  </si>
  <si>
    <t>Önkormányzati jogalkotás</t>
  </si>
  <si>
    <t>Építmény üzemeltetés</t>
  </si>
  <si>
    <t>Munkahelyi étkeztetés</t>
  </si>
  <si>
    <t>Heves Városi Óvodák és Bölcsőde Köznevelési Intézmény kötelező feladatok</t>
  </si>
  <si>
    <t>Heves Városi Óvodák és Bölcsőde Köznevelési Intézmény önként vállalt feladatok</t>
  </si>
  <si>
    <t>Heves Városi Óvodák és Bölcsőde Köznevelési Intézmény összesen</t>
  </si>
  <si>
    <t>Hevesi Kulturális Központ kötelező feladatok</t>
  </si>
  <si>
    <t>Hevesi Kulturális Központ önként vállalt feladsatok</t>
  </si>
  <si>
    <t>Hevesi Kulturális Központ összesen</t>
  </si>
  <si>
    <t>Közfoglalkoztatottak éves létszám-előirányzata</t>
  </si>
  <si>
    <t>3. melléklet</t>
  </si>
  <si>
    <t xml:space="preserve"> 2014. ÉVI ENGEDÉLYEZETT LÉTSZÁM ELŐIRÁNYZATA</t>
  </si>
  <si>
    <t>2014. évi létszám előirányzat (fő)</t>
  </si>
  <si>
    <t>MINDÖSSZESEN LÉTSZÁM</t>
  </si>
  <si>
    <t>KÖZFOGLALKOZTATOTTAK ÖSSZESEN</t>
  </si>
  <si>
    <t>ENGEDÉLYEZETT LÉTSZÁM ELŐIRÁNYZAT ÖSSZESEN</t>
  </si>
  <si>
    <t>Hevesi Polgármesteri Hivatal kötelező feladatok</t>
  </si>
  <si>
    <t>Hevesi Polgármesteri Hivatal önként vállalt feladatok</t>
  </si>
  <si>
    <t>Hevesi Polgármesteri Hivatal állami (államigazgatási) feladatok</t>
  </si>
  <si>
    <t>Hevesi Polgármesteri Hivatal összesen</t>
  </si>
  <si>
    <t>9. melléklet</t>
  </si>
  <si>
    <t>1. EU-s projekt azonosítója, neve:</t>
  </si>
  <si>
    <t>2. EU-s projekt azonosítója, neve:</t>
  </si>
  <si>
    <t>Források</t>
  </si>
  <si>
    <t>2015.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</si>
  <si>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</si>
  <si>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</si>
  <si>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</si>
  <si>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</si>
  <si>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</si>
  <si>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</si>
  <si>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</si>
  <si>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</si>
  <si>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Összesen:</t>
  </si>
  <si>
    <t>3. EU-s projekt azonosítója, neve:</t>
  </si>
  <si>
    <t>4. EU-s projekt azonosítója, neve:</t>
  </si>
  <si>
    <t>5. EU-s projekt azonosítója, neve:</t>
  </si>
  <si>
    <t>6. EU-s projekt azonosítója, neve:</t>
  </si>
  <si>
    <t>7. EU-s projekt azonosítója, neve:</t>
  </si>
  <si>
    <t>8. EU-s projekt azonosítója, neve:</t>
  </si>
  <si>
    <t>4. melléklet</t>
  </si>
  <si>
    <t>2016.</t>
  </si>
  <si>
    <t>2016. után</t>
  </si>
  <si>
    <t>2014. előtt</t>
  </si>
  <si>
    <t>Önkormányzaton kívüli EU-s projektekhez történő hozzájárulás 2014. évi előirányzata</t>
  </si>
  <si>
    <t>Személyi juttatások</t>
  </si>
  <si>
    <t>Munkaadókat terhelő járulékok és szociális hozzájárulási adó</t>
  </si>
  <si>
    <t>Dologi kiadások</t>
  </si>
  <si>
    <t>Ellátottak pénzbeli juttatásai</t>
  </si>
  <si>
    <t>Egyéb működési célú kiadások</t>
  </si>
  <si>
    <t>Beruházások</t>
  </si>
  <si>
    <t>Felújítások</t>
  </si>
  <si>
    <t>Egyéb felhalmozási célú kiadások</t>
  </si>
  <si>
    <t>Kiadások, költségek összesen:</t>
  </si>
  <si>
    <t>EURÓPAI UNIÓS TÁMOGATÁSSAL MEGVALÓSULÓ PROJEKTEK BEVÉTELEI, KIADÁSAI, HOZZÁJÁRULÁSOK</t>
  </si>
  <si>
    <t>5. melléklet</t>
  </si>
  <si>
    <t xml:space="preserve">Saját bevétel és adósságot keletkeztető ügyletből eredő fizetési kötelezettség </t>
  </si>
  <si>
    <t xml:space="preserve"> Ezer forintban !</t>
  </si>
  <si>
    <t>2017.</t>
  </si>
  <si>
    <t>2018.</t>
  </si>
  <si>
    <t>2019.</t>
  </si>
  <si>
    <t>2020.</t>
  </si>
  <si>
    <t>2021.</t>
  </si>
  <si>
    <t>2022.</t>
  </si>
  <si>
    <t>2023.</t>
  </si>
  <si>
    <t>2024.</t>
  </si>
  <si>
    <t>2025.</t>
  </si>
  <si>
    <t>2026.</t>
  </si>
  <si>
    <t>2027.</t>
  </si>
  <si>
    <t>2028.</t>
  </si>
  <si>
    <t>2029.</t>
  </si>
  <si>
    <t>20=3+…+19</t>
  </si>
  <si>
    <t>Kezességvállalással kapcsolatos megtérülés</t>
  </si>
  <si>
    <t>Felvett, átvállalt hitel és annak tőketartozása</t>
  </si>
  <si>
    <t>Felvett, átvállalt kölcsön és annak tőketartozása</t>
  </si>
  <si>
    <t>Hitelviszonyt megtestesítő értékpapír</t>
  </si>
  <si>
    <t>Adott váltó</t>
  </si>
  <si>
    <t>Pénzügyi lízing</t>
  </si>
  <si>
    <t>Kezességvállalásból eredő fizetési kötelezettség</t>
  </si>
  <si>
    <t>24.</t>
  </si>
  <si>
    <t>25.</t>
  </si>
  <si>
    <t>26.</t>
  </si>
  <si>
    <t>27.</t>
  </si>
  <si>
    <t>Fejlesztési cél leírása</t>
  </si>
  <si>
    <t>Fejlesztés várható kiadása</t>
  </si>
  <si>
    <r>
      <t>Évek</t>
    </r>
    <r>
      <rPr>
        <vertAlign val="superscript"/>
        <sz val="9"/>
        <rFont val="Times New Roman CE"/>
        <family val="0"/>
      </rPr>
      <t>1</t>
    </r>
  </si>
  <si>
    <r>
      <rPr>
        <vertAlign val="superscript"/>
        <sz val="9"/>
        <rFont val="Times New Roman CE"/>
        <family val="0"/>
      </rPr>
      <t>1</t>
    </r>
    <r>
      <rPr>
        <sz val="9"/>
        <rFont val="Times New Roman CE"/>
        <family val="0"/>
      </rPr>
      <t>A saját bevételeket és a fizetési kötelezettségeket az ügylet futamidejének végéig be kell mutatni, évenkénti bontásban.</t>
    </r>
  </si>
  <si>
    <t>2030.</t>
  </si>
  <si>
    <t>10. melléklet</t>
  </si>
  <si>
    <t>Többéves kihatással járó döntésekből származó kötelezettségek célok szerint, évenkénti bontásban</t>
  </si>
  <si>
    <t>Kötelezettség jogcíme</t>
  </si>
  <si>
    <t>Köt. váll.
 éve</t>
  </si>
  <si>
    <t>Kiadás vonzata évenként</t>
  </si>
  <si>
    <t>9=(4+5+6+7+8)</t>
  </si>
  <si>
    <t>Működési célú hiteltörlesztés (tőke+kamat+egyéb ktg)</t>
  </si>
  <si>
    <t>Munkabérhitel (likvid hitel)</t>
  </si>
  <si>
    <t>Munkabérhitel kamata</t>
  </si>
  <si>
    <t>Folyószámlahitel</t>
  </si>
  <si>
    <t>Folyószámla hitel kamata</t>
  </si>
  <si>
    <t>Folyószámla hitel számlavezetési díj</t>
  </si>
  <si>
    <t>Reorganizációs hitel (OTP) kamata</t>
  </si>
  <si>
    <t>Reorganizációs hitel (Volksbank) kamata</t>
  </si>
  <si>
    <t>Reorganizációs hitel (Volksbank) egyéb költsége</t>
  </si>
  <si>
    <t>Reorganizációs hitel (Takarékbank) kamata</t>
  </si>
  <si>
    <t>Felhalmozási célú hiteltörlesztés (tőke+kamat)</t>
  </si>
  <si>
    <t>Felhalmozási hitel</t>
  </si>
  <si>
    <t>Falhalmozási hitel kamata</t>
  </si>
  <si>
    <t>Kötvénykibocsátással kapcsolatos kötelezettségek</t>
  </si>
  <si>
    <t>Kötvény</t>
  </si>
  <si>
    <t>Kötvény kamata</t>
  </si>
  <si>
    <t>Kötvény kezességvállalási díj</t>
  </si>
  <si>
    <t>Európai uniós támogatással megvalósuló projektek</t>
  </si>
  <si>
    <t>ÉMOP-4.1.1/B-09-2010-0002 Járóbeteg szakellátó központ létrehozása a Hevesi Kistérségben</t>
  </si>
  <si>
    <t>ÉMOP-3.1.2/A-09-2f-2011-0008 Heves város funkcióbővítő településrehabilitáció</t>
  </si>
  <si>
    <t>ÉMOP-4.3.1/A-11-2012-0005 Hevesi Csoda-Vár óvoda infrastrukturális megújulása</t>
  </si>
  <si>
    <t>28.</t>
  </si>
  <si>
    <t xml:space="preserve">TÁMOP-5.3.6-11/1-2012-0015 „Komplex telep-program” </t>
  </si>
  <si>
    <t>29.</t>
  </si>
  <si>
    <t>30.</t>
  </si>
  <si>
    <t xml:space="preserve"> KEOP-7.1.3.0-2008-0036 Hevesi kistérségi települések ivóvízminőség-javító programjának II. üteme hozzájárulás</t>
  </si>
  <si>
    <t>31.</t>
  </si>
  <si>
    <t>KEOP 1.3.0./09-11-2011-0012 Hevesi Kistérségi Települések Ivóvízminőség javító program (I. ütem) hozzájárulás</t>
  </si>
  <si>
    <t>32.</t>
  </si>
  <si>
    <t>33.</t>
  </si>
  <si>
    <t>KEOP 2009-7.1.1.1 Jászberényi és Dél- hevesi Kistérségben lévő 32 település hulladékgazdálkodási rendszerének fejlesztése (I. forduló) - hulladékudvar  hozzájárulás</t>
  </si>
  <si>
    <t>Egyéb kötelezettségek</t>
  </si>
  <si>
    <t>2014. előtti kifizetés</t>
  </si>
  <si>
    <t>6. melléklet</t>
  </si>
  <si>
    <t>7. melléklet</t>
  </si>
  <si>
    <t>(kedvezmények)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</si>
  <si>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</si>
  <si>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</si>
  <si>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</si>
  <si>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</si>
  <si>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</si>
  <si>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>Építményadó</t>
  </si>
  <si>
    <t xml:space="preserve">Telekadó </t>
  </si>
  <si>
    <t xml:space="preserve">Vállalkozók kommunális adója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</si>
  <si>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</si>
  <si>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</si>
  <si>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</si>
  <si>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</si>
  <si>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</si>
  <si>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</si>
  <si>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</si>
  <si>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kedvezmény</t>
  </si>
  <si>
    <t>Egyéb kölcsön elengedése</t>
  </si>
  <si>
    <t>Az önkormányzat által adott 2014. évi közvetett támogatások</t>
  </si>
  <si>
    <t>2014. évi tervezett kedvezmény nélkül elérhető bevétel</t>
  </si>
  <si>
    <t>2014. évi tervezett kedvezmények összege</t>
  </si>
  <si>
    <t>11. melléklet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</si>
  <si>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</si>
  <si>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</si>
  <si>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</si>
  <si>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</si>
  <si>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</si>
  <si>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</si>
  <si>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</si>
  <si>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</si>
  <si>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</si>
  <si>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</si>
  <si>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</si>
  <si>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</si>
  <si>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Bevételek</t>
  </si>
  <si>
    <t>Közhatalmi bevételek</t>
  </si>
  <si>
    <t>Bevételek összesen:</t>
  </si>
  <si>
    <t>Kiadások</t>
  </si>
  <si>
    <t>Kiadások összesen:</t>
  </si>
  <si>
    <t>Előirányzat-felhasználási ütemterv 2014. évre (tervezett adatok alapján)</t>
  </si>
  <si>
    <t>Működési célú támogatások államháztartáson belülről</t>
  </si>
  <si>
    <t>Működési bevételek</t>
  </si>
  <si>
    <t>Működési célú átvett pénzeszközök</t>
  </si>
  <si>
    <t>Felhalmozási célú támogatások államháztartáson belülről</t>
  </si>
  <si>
    <t>Felhalmozási bevételek</t>
  </si>
  <si>
    <t>Felhalmozási célú átvett pénzeszközök</t>
  </si>
  <si>
    <t>Működési finanszírozási bevételek</t>
  </si>
  <si>
    <t>Felhalmozási finanszírozási bevételek</t>
  </si>
  <si>
    <t>Működési finanszírozási kiadások</t>
  </si>
  <si>
    <t>Felhalmozási finanszírozási kiadások</t>
  </si>
  <si>
    <t>Havi egyenleg</t>
  </si>
  <si>
    <t>Éves halmozott egyenleg</t>
  </si>
  <si>
    <t>(a tárgyévet megelőző két év teljesítési adataival kiegészítve)</t>
  </si>
  <si>
    <t>2012. évi teljesítés</t>
  </si>
  <si>
    <t>2013. évi várható teljesítés</t>
  </si>
  <si>
    <t>Jogcím</t>
  </si>
  <si>
    <t>1</t>
  </si>
  <si>
    <t>Önkormányzati hivatal működésének támogatása</t>
  </si>
  <si>
    <t>A zöldterület-gazdálkodással kapcsolatos feladatok ellátásának támogatása</t>
  </si>
  <si>
    <t>Közvilágítás fenntartásának támogatása</t>
  </si>
  <si>
    <t>Köztemető fenntartással kapcsolatos feladatok támogatása</t>
  </si>
  <si>
    <t>Közutak fenntartásának támogatása</t>
  </si>
  <si>
    <t>Óvodapedagógusok, és az óvodapedagógusok nevelő munkáját közvetlenül segítők bértámogatása</t>
  </si>
  <si>
    <t>Óvodaműködtetési támogatás</t>
  </si>
  <si>
    <t>Társulás által fenntartott óvodákba bejáró gyermekek utaztatásának támogatása</t>
  </si>
  <si>
    <t>Egyes jövedelempótló támogatások kiegészítése</t>
  </si>
  <si>
    <t>Hozzájárulás a pénzbeli szociális ellátásokhoz</t>
  </si>
  <si>
    <t>Egyes szociális és gyermekjóléti feladatok támogatása</t>
  </si>
  <si>
    <t>Gyermekjóléti központ</t>
  </si>
  <si>
    <t>Szociális étkeztetés</t>
  </si>
  <si>
    <t>Házi segítségnyújtás</t>
  </si>
  <si>
    <t>Falugondnoki vagy tanyagondnoki szolgáltatás</t>
  </si>
  <si>
    <t>Időskorúak nappali intézményi ellátása</t>
  </si>
  <si>
    <t>Fogyatékos és demens személyek nappali intézményi ellátása</t>
  </si>
  <si>
    <t>Hajléktalanok nappali intézményi ellátása</t>
  </si>
  <si>
    <t>Gyermekek átmeneti intézményei</t>
  </si>
  <si>
    <t>Könyvtári, közművelődési és múzeumi feladatok támogatása</t>
  </si>
  <si>
    <t>A települési önkormányzatok által fenntartott, illetve támogatott előadó-művészeti szervezetek támogatása</t>
  </si>
  <si>
    <t>V.</t>
  </si>
  <si>
    <t>Forintban!</t>
  </si>
  <si>
    <t>A települési önkormányzatok működésének támogatása</t>
  </si>
  <si>
    <t xml:space="preserve">a) </t>
  </si>
  <si>
    <t>b)</t>
  </si>
  <si>
    <t>Település-üzemeltetéshez kapcsolódó feladatellátás támogatása</t>
  </si>
  <si>
    <t>ba)</t>
  </si>
  <si>
    <t>bb)</t>
  </si>
  <si>
    <t>bc)</t>
  </si>
  <si>
    <t>bd)</t>
  </si>
  <si>
    <t>c)</t>
  </si>
  <si>
    <t>Egyéb önkormányzati feladatok támogatása</t>
  </si>
  <si>
    <t>d)</t>
  </si>
  <si>
    <t>Budapest Főváros Önkormányzatának kiegészítő támogatása</t>
  </si>
  <si>
    <t>Nem közművel összegyűjtött háztartási szennyvíz ártalmatlanítása</t>
  </si>
  <si>
    <t>Megyei önkormányzatok működésének támogatása</t>
  </si>
  <si>
    <t>a)</t>
  </si>
  <si>
    <t>Szociális és gyermekjóléti alapszolgáltatások általános feladatai</t>
  </si>
  <si>
    <t>e)</t>
  </si>
  <si>
    <t>f)</t>
  </si>
  <si>
    <t>g)</t>
  </si>
  <si>
    <t>h)</t>
  </si>
  <si>
    <t>Pszichiátriai és szenvedélybetegek nappali intézményi ellátása</t>
  </si>
  <si>
    <t>i)</t>
  </si>
  <si>
    <t>j)</t>
  </si>
  <si>
    <t>Gyermekek napközbeni ellátása</t>
  </si>
  <si>
    <t>ja)</t>
  </si>
  <si>
    <t>Bölcsődei ellátás</t>
  </si>
  <si>
    <t>jb)</t>
  </si>
  <si>
    <t>Családi napközi ellátás és - gyermekfelügyelet</t>
  </si>
  <si>
    <t>k)</t>
  </si>
  <si>
    <t>Hajléktalanok átmeneti intézményei</t>
  </si>
  <si>
    <t>l)</t>
  </si>
  <si>
    <t>m)</t>
  </si>
  <si>
    <t>Kistelepülések szociális feladatainak támogatása</t>
  </si>
  <si>
    <t>A települési önkormányzatok által az idősek átmeneti és tartós, valamint a hajléktalan személyek részére nyújtott tartós szociális szakosított ellátási feladatok támogatása</t>
  </si>
  <si>
    <t>A finanszírozás szempontjából elismert szakmai dolgozók bértámogatása</t>
  </si>
  <si>
    <t>Intézmény-üzemeltetési támogatás</t>
  </si>
  <si>
    <t>Gyermekétkeztetés támogatása</t>
  </si>
  <si>
    <t>A finanszírozás szempontjából elismert dolgozók bértámogatása</t>
  </si>
  <si>
    <t>Gyermekétkeztetés üzemeltetési támogatása</t>
  </si>
  <si>
    <t>III.2. - V. Hozzájárulás a pénzbeli szociális ellátásokhoz beszámítás után</t>
  </si>
  <si>
    <t>Megyei hatókörű városi múzeumok feladatainak támogatása</t>
  </si>
  <si>
    <t>Megyei könyvtárak feladatainak támogatása</t>
  </si>
  <si>
    <t>Megyeszékhely megyei jogú városok és Szentendre Város Önkormányzatának közművelődési támogatása</t>
  </si>
  <si>
    <t>Települési önkormányzatok nyilvános könyvtári és közművelődési feladatainak támogatása</t>
  </si>
  <si>
    <t>Budapest Főváros Önkormányzatának múzeumi, könyvtári és közművelődési támogatása</t>
  </si>
  <si>
    <t>Fővárosi kerületi önkormányzatok közművelődési támogatása</t>
  </si>
  <si>
    <t>Megyei könyvtár kistelepülési könyvtári célú kiegészítő támogatása</t>
  </si>
  <si>
    <t>Színházművészeti szervezetek támogatása</t>
  </si>
  <si>
    <t>Táncművészeti szervezetek támogatása</t>
  </si>
  <si>
    <t>Zeneművészeti szervezetek támogatása</t>
  </si>
  <si>
    <r>
      <t xml:space="preserve"> A HELYI ÖNKORMÁNYZATOK MŰKÖDÉSÉNEK ÁLTALÁNOS TÁMOGATÁSA </t>
    </r>
    <r>
      <rPr>
        <b/>
        <i/>
        <sz val="9"/>
        <rFont val="Times New Roman CE"/>
        <family val="0"/>
      </rPr>
      <t>[1.+…+3.]</t>
    </r>
  </si>
  <si>
    <r>
      <t>A TELEPÜLÉSI ÖNKORMÁNYZATOK EGYES KÖZNEVELÉSI FELADATAINAK TÁMOGATÁSA</t>
    </r>
    <r>
      <rPr>
        <b/>
        <i/>
        <sz val="9"/>
        <rFont val="Times New Roman CE"/>
        <family val="0"/>
      </rPr>
      <t xml:space="preserve"> [1.+…+3.]</t>
    </r>
  </si>
  <si>
    <r>
      <t xml:space="preserve">A TELEPÜLÉSI ÖNKORMÁNYZATOK SZOCIÁLIS, GYERMEKJÓLÉTI ÉS GYERMEKÉTKEZTETÉSI FELADATAINAK TÁMOGATÁSA </t>
    </r>
    <r>
      <rPr>
        <b/>
        <i/>
        <sz val="9"/>
        <rFont val="Times New Roman CE"/>
        <family val="0"/>
      </rPr>
      <t xml:space="preserve"> [1.+(III.2.-V.)+…+5.]</t>
    </r>
  </si>
  <si>
    <t>Beszámítás</t>
  </si>
  <si>
    <r>
      <t xml:space="preserve">A TELEPÜLÉSI ÖNKORMÁNYZATOK KULTURÁLIS FELADATAINAK TÁMOGATÁSA </t>
    </r>
    <r>
      <rPr>
        <b/>
        <i/>
        <sz val="9"/>
        <rFont val="Times New Roman CE"/>
        <family val="0"/>
      </rPr>
      <t>[1.+2.]</t>
    </r>
  </si>
  <si>
    <t>Az e-útdíj bevezetésével egyidejűleg a magántulajdonos árufuvarozók versenyképességét javító intézkedések miatt az önkormányzatoknál keletkező bevételkiesés ellentételezése</t>
  </si>
  <si>
    <t>Adósságkonszolidációban részt nem vett települési önkormányzatok fejlesztéseinek támogatása</t>
  </si>
  <si>
    <t>Egyes önkormányzati feladatokhoz kapcsolódó fejlesztési támogatás</t>
  </si>
  <si>
    <t>Kötelező önkormányzati feladatot ellátó intézmények fejlesztése, felújítása</t>
  </si>
  <si>
    <t>Óvodai, iskolai és utánpótlás sport infrastruktúra-fejlesztés, felújítás</t>
  </si>
  <si>
    <t>Egyes fővárosi önkormányzati feladatokhoz kapcsolódó fejlesztések támogatása</t>
  </si>
  <si>
    <t>Belterületi utak szilárd burkolattal való ellátása</t>
  </si>
  <si>
    <t>Normafa Park rehabilitációjának támogatása</t>
  </si>
  <si>
    <t>„ART” mozihálózat digitális fejlesztésének (digitalizációjának) támogatása</t>
  </si>
  <si>
    <t>Korábban a Megyei Intézményfenntartó Központ által fenntartott, települési önkormányzat tulajdonában lévő köznevelési intézmények működtetésének támogatása</t>
  </si>
  <si>
    <t>Köznevelési intézmények kiegészítő támogatása</t>
  </si>
  <si>
    <t>A kötelezően ellátandó helyi közösségi közlekedési feladat támogatása</t>
  </si>
  <si>
    <t>”Szombathely a segítés városa” program támogatása</t>
  </si>
  <si>
    <t>Költségvetési törvény 2. melléklete szerinti támogatások</t>
  </si>
  <si>
    <t>Költségvetési törvény 3. melléklete szerinti támogatások</t>
  </si>
  <si>
    <t>A</t>
  </si>
  <si>
    <t>B</t>
  </si>
  <si>
    <t>C</t>
  </si>
  <si>
    <t>HEVES VÁROS ÖNKORMÁNYZATA 2014. ÉVI ÖNKORMÁNYZATI TÁMOGATÁSAI</t>
  </si>
  <si>
    <r>
      <t>A HELYI ÖNKORMÁNYZATOK ÁLTALÁNOS MŰKÖDÉSÉNEK ÉS ÁGAZATI FELADATAINAK TÁMOGATÁSA</t>
    </r>
    <r>
      <rPr>
        <b/>
        <i/>
        <sz val="9"/>
        <rFont val="Times New Roman CE"/>
        <family val="0"/>
      </rPr>
      <t xml:space="preserve"> [I.+...+IV.]</t>
    </r>
  </si>
  <si>
    <r>
      <t>A HELYI ÖNKORMÁNYZATOK ÁLTAL FELHASZNÁLHATÓ KÖZPONTOSÍTOTT ELŐIRÁNYZATOK</t>
    </r>
    <r>
      <rPr>
        <b/>
        <i/>
        <sz val="9"/>
        <rFont val="Times New Roman CE"/>
        <family val="0"/>
      </rPr>
      <t xml:space="preserve"> [1.+…+21.]</t>
    </r>
  </si>
  <si>
    <t>Önkormányzati fejezeti tartalék</t>
  </si>
  <si>
    <r>
      <t>HELYI ÖNKORMÁNYZATOK KIEGÉSZÍTŐ TÁMOGATÁSAI</t>
    </r>
    <r>
      <rPr>
        <b/>
        <i/>
        <sz val="9"/>
        <rFont val="Times New Roman CE"/>
        <family val="0"/>
      </rPr>
      <t xml:space="preserve"> [1.+.2.]</t>
    </r>
  </si>
  <si>
    <t>Költségvetési törvény 4. melléklete szerinti támogatások</t>
  </si>
  <si>
    <r>
      <t>ÖNKORMÁNYZATI TÁMOGATÁSOK MINDÖSSZESEN:</t>
    </r>
    <r>
      <rPr>
        <b/>
        <i/>
        <sz val="9"/>
        <rFont val="Times New Roman CE"/>
        <family val="0"/>
      </rPr>
      <t xml:space="preserve"> [A+B+C]</t>
    </r>
  </si>
  <si>
    <t>D</t>
  </si>
  <si>
    <t>Megyei önkormányzati tartalék</t>
  </si>
  <si>
    <t>14. melléklet</t>
  </si>
  <si>
    <t>Kivitelezés kezdési és befejezési éve</t>
  </si>
  <si>
    <t>7=(2-4-5-6)</t>
  </si>
  <si>
    <t>Heves Város Önkormányzata felújításai</t>
  </si>
  <si>
    <t>Heves Város Önkormányzata felújításai összesen:</t>
  </si>
  <si>
    <t>Heves Városi Óvodák és Bölcsőde Köznevelési Intézmény felújításai</t>
  </si>
  <si>
    <t>Heves Városi Óvodák és Bölcsőde Köznevelési Intézmény felújításai összesen:</t>
  </si>
  <si>
    <t>Hevesi Kulturális Központ felújításai összesen:</t>
  </si>
  <si>
    <t>Heves Város Önkormányzata beruházásai</t>
  </si>
  <si>
    <t>Heves Város Önkormányzata beruházásai összesen:</t>
  </si>
  <si>
    <t>Heves Városi Óvodák és Bölcsőde Köznevelési Intézmény beruházásai</t>
  </si>
  <si>
    <t>Heves Városi Óvodák és Bölcsőde Köznevelési Intézmény beruházásai összesen:</t>
  </si>
  <si>
    <t>Hevesi Kulturális Központ beruházásai</t>
  </si>
  <si>
    <t>Hevesi Kulturális Központ beruházásai összesen:</t>
  </si>
  <si>
    <t>Hevesi Polgármesteri Hivatal felújításai</t>
  </si>
  <si>
    <t>Hevesi Polgármesteri Hivatal felújításai összesen:</t>
  </si>
  <si>
    <t>Hevesi Polgármesteri Hivatal beruházásai</t>
  </si>
  <si>
    <t>Hevesi Polgármesteri Hivatal beruházásai összesen:</t>
  </si>
  <si>
    <t>Felhasználás 2014. előtt</t>
  </si>
  <si>
    <t>Pályázatból támogatás</t>
  </si>
  <si>
    <t>2014. év utáni szükséglet</t>
  </si>
  <si>
    <t xml:space="preserve">Teljes költség </t>
  </si>
  <si>
    <t>BERUHÁZÁSOK MINDÖSSZESEN:</t>
  </si>
  <si>
    <t>FELÚJÍTÁSOK MINDÖSSZESEN:</t>
  </si>
  <si>
    <t>Heves Város Önkormányzata egyéb felhalmozási célú kiadásai</t>
  </si>
  <si>
    <t>Heves Város Önkormányzata egyéb felhalmozási célú kiadásai összesen:</t>
  </si>
  <si>
    <t>Hevesi Polgármesteri Hivatal egyéb felhalmozási célú kiadásai</t>
  </si>
  <si>
    <t>Hevesi Polgármesteri Hivatal egyéb felhalmozási célú kiadásai összesen:</t>
  </si>
  <si>
    <t>Heves Városi Óvodák és Bölcsőde Köznevelési Intézmény egyéb felhalmozási célú kiadásai</t>
  </si>
  <si>
    <t>Heves Városi Óvodák és Bölcsőde Köznevelési Intézmény egyéb felhalmozási célú kiadásai összesen:</t>
  </si>
  <si>
    <t>Hevesi Kulturális Központ egyéb felhalmozási célú kiadásai</t>
  </si>
  <si>
    <t>Hevesi Kulturális Központ egyéb felhalmozási célú kiadásai összesen:</t>
  </si>
  <si>
    <t>EU-s forrásból finanszírozott támogatással megvalósuló programok, projektek beruházási kiadásai</t>
  </si>
  <si>
    <t>EU-s forrásból finanszírozott támogatással megvalósuló programok, projektek beruházási kiadásai összesen:</t>
  </si>
  <si>
    <t>EU-s forrásból finanszírozott támogatással megvalósuló programok, projektek felújítási kiadásai</t>
  </si>
  <si>
    <t>EU-s forrásból finanszírozott támogatással megvalósuló programok, projektek felújítási kiadásai összesen:</t>
  </si>
  <si>
    <t xml:space="preserve"> Felhalmozási célú  fejezeti kezelésű előirányzatok EU-s programok és azok hazai társfinanszírozása</t>
  </si>
  <si>
    <t xml:space="preserve"> Felhalmozási célú  fejezeti kezelésű előirányzatok EU-s programok és azok hazai társfinanszírozása összesen:</t>
  </si>
  <si>
    <t>EGYÉB FELHALMOZÁSI CÉLÚ KIADÁSOK MINDÖSSZESEN:</t>
  </si>
  <si>
    <t>Felhalmozási célú kiadások megnevezése</t>
  </si>
  <si>
    <t>Támogatott szervezet neve</t>
  </si>
  <si>
    <t>Támogatás célja</t>
  </si>
  <si>
    <t>Heves Város Roma Nemzetiségi Önkormányzata</t>
  </si>
  <si>
    <t>működési kiadások</t>
  </si>
  <si>
    <t>Hevesi Kistérség Többcélú Társulása</t>
  </si>
  <si>
    <t>Heves Megyei Kataszrófavédelmi Igazgatóság</t>
  </si>
  <si>
    <t>Civil szervezetek</t>
  </si>
  <si>
    <t>pályázati kiírás szerint</t>
  </si>
  <si>
    <t>Alapítványok</t>
  </si>
  <si>
    <t>Heves Város Polgárőr Egyesület</t>
  </si>
  <si>
    <t>Heves Labdarúgó Sport Club</t>
  </si>
  <si>
    <t>HSE</t>
  </si>
  <si>
    <t>Hevesi Diákfoci Club (női labdarúgás)</t>
  </si>
  <si>
    <t>Bursa Hungarica Ösztöndíjban részesülők</t>
  </si>
  <si>
    <t>ösztöndíj</t>
  </si>
  <si>
    <t>Egyéb működési célú támogatások államháztartáson kívülre összesen:</t>
  </si>
  <si>
    <t>Egyéb működési célú támogatások államháztartáson belülre összesen:</t>
  </si>
  <si>
    <t>Egyéb felhalmozási célú támogatások államháztartáson belülre összesen:</t>
  </si>
  <si>
    <t>Egyéb felhalmozási célú támogatások államháztartáson kívülre</t>
  </si>
  <si>
    <t>Egyéb felhalmozási célú támogatások államháztartáson kívülre összesen:</t>
  </si>
  <si>
    <t>E</t>
  </si>
  <si>
    <t>K</t>
  </si>
  <si>
    <t>Adó, illeték kiszabása, beszedése, adóellenőrzés</t>
  </si>
  <si>
    <t>Finanszírozási műveletek</t>
  </si>
  <si>
    <t xml:space="preserve">Országos és helyi népszavazáshoz kapcsolódó tevékenységek </t>
  </si>
  <si>
    <t xml:space="preserve">Időskorúak járadéka </t>
  </si>
  <si>
    <t xml:space="preserve">Lakásfenntartási támogatás normatív alapon </t>
  </si>
  <si>
    <t>Ápolási díj alanyi jogon</t>
  </si>
  <si>
    <t xml:space="preserve">Rendszeres gyermekvédelmi pénzbeli ellátás </t>
  </si>
  <si>
    <t xml:space="preserve">Kiegészítő gyermekvédelmi támogatás </t>
  </si>
  <si>
    <t>Óvodáztatási támogatás</t>
  </si>
  <si>
    <t>Rendkívüli gyermekvédelmi támogatás</t>
  </si>
  <si>
    <t xml:space="preserve">Közgyógyellátás </t>
  </si>
  <si>
    <t>Köztemetés</t>
  </si>
  <si>
    <t>Otthonteremtési támogatás</t>
  </si>
  <si>
    <t>Víztermelés-, kezelés-, ellátás</t>
  </si>
  <si>
    <t>Út, autópálya építése</t>
  </si>
  <si>
    <t>Közutak, hidak, alagutak üzemeltetése, fenntartása</t>
  </si>
  <si>
    <t>Közvilágítás</t>
  </si>
  <si>
    <t xml:space="preserve">Város-, községgazdálkodási m.n.s. szolgáltatások </t>
  </si>
  <si>
    <t>Állategészségügyi ellátás</t>
  </si>
  <si>
    <t>Zöldterület-kezelés</t>
  </si>
  <si>
    <t xml:space="preserve">Közterület rendjének fenntartása </t>
  </si>
  <si>
    <t>Ár- és belvízvédelemmel összefüggő tevékenységek</t>
  </si>
  <si>
    <t>Köztemető fenntartás és működtetés</t>
  </si>
  <si>
    <t>Nem lakóingatlan bérbeadása, üzemeltetése</t>
  </si>
  <si>
    <t xml:space="preserve">Központi költségvetési befizetések </t>
  </si>
  <si>
    <t>A polgári védelem ágazati feladatai</t>
  </si>
  <si>
    <t xml:space="preserve">Versenysport-tevékenység és támogatása </t>
  </si>
  <si>
    <t xml:space="preserve">Önkormányzatok m.n.s. nemzetközi kapcsolatai </t>
  </si>
  <si>
    <t xml:space="preserve">Helyi rendszeres lakásfenntartási támogatás </t>
  </si>
  <si>
    <t xml:space="preserve">Ápolási díj méltányossági alapon </t>
  </si>
  <si>
    <t xml:space="preserve">Helyi eseti lakásfenntartási támogatás </t>
  </si>
  <si>
    <t>Temetési segély</t>
  </si>
  <si>
    <t xml:space="preserve">Szabadidős park, fürdő és strandszolgáltatás </t>
  </si>
  <si>
    <t xml:space="preserve">Önkormányzatok által nyújtott lakástámogatás </t>
  </si>
  <si>
    <t xml:space="preserve">Sportlétesítmények működtetése és fejlesztése </t>
  </si>
  <si>
    <t>Országgyűlési képviselőválasztáshoz kapcsolódó tevékenységek</t>
  </si>
  <si>
    <t xml:space="preserve">Önkormányzati képviselőválasztáshoz kapcsolódó tevékenységek </t>
  </si>
  <si>
    <t xml:space="preserve">Munkáltatók által nyújtott lakástámogatás </t>
  </si>
  <si>
    <t>841124-1</t>
  </si>
  <si>
    <t>841133-1</t>
  </si>
  <si>
    <t>841906-9</t>
  </si>
  <si>
    <t>841118-1</t>
  </si>
  <si>
    <t>882111-1</t>
  </si>
  <si>
    <t>882112-1</t>
  </si>
  <si>
    <t xml:space="preserve">882113-1 </t>
  </si>
  <si>
    <t>882115-1</t>
  </si>
  <si>
    <t>882117-1</t>
  </si>
  <si>
    <t>882118-1</t>
  </si>
  <si>
    <t>882119-1</t>
  </si>
  <si>
    <t>882122-1</t>
  </si>
  <si>
    <t>882124-1</t>
  </si>
  <si>
    <t>882129-1</t>
  </si>
  <si>
    <t>882202-1</t>
  </si>
  <si>
    <t>882203-1</t>
  </si>
  <si>
    <t>889935-1</t>
  </si>
  <si>
    <t>360000-1</t>
  </si>
  <si>
    <t>381103-1</t>
  </si>
  <si>
    <t>421100-1</t>
  </si>
  <si>
    <t>493102-1</t>
  </si>
  <si>
    <t>841403-1</t>
  </si>
  <si>
    <t>750000-1</t>
  </si>
  <si>
    <t>813000-1</t>
  </si>
  <si>
    <t>842421-1</t>
  </si>
  <si>
    <t>890441-1</t>
  </si>
  <si>
    <t xml:space="preserve"> 842541-1 </t>
  </si>
  <si>
    <t>960302-1</t>
  </si>
  <si>
    <t>682002-1</t>
  </si>
  <si>
    <t>841901-9</t>
  </si>
  <si>
    <t>842531-1</t>
  </si>
  <si>
    <t>931201-1</t>
  </si>
  <si>
    <t>882114-1</t>
  </si>
  <si>
    <t>882116-1</t>
  </si>
  <si>
    <t>882121-1</t>
  </si>
  <si>
    <t>882123-1</t>
  </si>
  <si>
    <t>854314-1</t>
  </si>
  <si>
    <t>932911-1</t>
  </si>
  <si>
    <t>889942-1</t>
  </si>
  <si>
    <t>890302-1</t>
  </si>
  <si>
    <t>931102-1</t>
  </si>
  <si>
    <t>841114-1</t>
  </si>
  <si>
    <t>841115-1</t>
  </si>
  <si>
    <t>841116-1</t>
  </si>
  <si>
    <t>841117-1</t>
  </si>
  <si>
    <t>841112-1</t>
  </si>
  <si>
    <t>841126-1</t>
  </si>
  <si>
    <t>889943-1</t>
  </si>
  <si>
    <t>Állampolgársági ügyek</t>
  </si>
  <si>
    <t>Fogyatékossággal összefüggő pénzbeli ellátások, támogatások</t>
  </si>
  <si>
    <t xml:space="preserve">Rövid időtartamú közfoglalkoztatás </t>
  </si>
  <si>
    <t>Start-munka program – Téli közfoglalkoztatás</t>
  </si>
  <si>
    <t>Közfoglalkoztatási mintaprogram</t>
  </si>
  <si>
    <t xml:space="preserve">Civil szervezetek program- és egyéb támogatása </t>
  </si>
  <si>
    <t>Területi általános végrehajtó igazgatási tevékenység</t>
  </si>
  <si>
    <t>Önkormányzatok és társulások általános végrehajtó igazgatási tevékenysége</t>
  </si>
  <si>
    <t>Önkormányzatok és önkormányzati hivatalok jogalkotó és általános igazgatási tevékenysége</t>
  </si>
  <si>
    <t>011130</t>
  </si>
  <si>
    <t>Adó-, vám- és jövedéki igazgatás</t>
  </si>
  <si>
    <t>011220</t>
  </si>
  <si>
    <t>Forgatási és befektetési célú finanszírozási műveletek</t>
  </si>
  <si>
    <t>900060</t>
  </si>
  <si>
    <t>Országos és helyi népszavazással kapcsolatos tevékenységek</t>
  </si>
  <si>
    <t>016020</t>
  </si>
  <si>
    <t>Helyi nemzetiségi önkormányzatok igazgatási tevékenysége</t>
  </si>
  <si>
    <t>841127-5</t>
  </si>
  <si>
    <t>011140</t>
  </si>
  <si>
    <t>Aktív korúak ellátása</t>
  </si>
  <si>
    <t>105010</t>
  </si>
  <si>
    <t>Munkanélküli aktív korúak ellátásai</t>
  </si>
  <si>
    <t>102040</t>
  </si>
  <si>
    <t>Időskorral összefüggő pénzbeli ellátások</t>
  </si>
  <si>
    <t>106020</t>
  </si>
  <si>
    <t>Lakásfenntartással, lakhatással összefüggő ellátások</t>
  </si>
  <si>
    <t>Betegséggel kapcsolatos pénzbeli ellátások, támogatások</t>
  </si>
  <si>
    <t>101150</t>
  </si>
  <si>
    <t>101231</t>
  </si>
  <si>
    <t>Gyermekvédelmi pénzbeli és természetbeni ellátások</t>
  </si>
  <si>
    <t>104051</t>
  </si>
  <si>
    <t>107060</t>
  </si>
  <si>
    <t>Egyéb szociális pénzbeli ellátások, támogatások</t>
  </si>
  <si>
    <t>Elhunyt személyek hátramaradottainak pénzbeli ellátása</t>
  </si>
  <si>
    <t>103010</t>
  </si>
  <si>
    <t>Egyéb önkormányzati  eseti pénzbeli ellátások</t>
  </si>
  <si>
    <t>Funkciók szerint bontandó</t>
  </si>
  <si>
    <t>Szociális ösztöndíjak</t>
  </si>
  <si>
    <t>094260</t>
  </si>
  <si>
    <t>Hallgatói és oktatói ösztöndíjak, egyéb juttatások</t>
  </si>
  <si>
    <t>Egyéb szociális természetbeni és pénzbeli ellátások</t>
  </si>
  <si>
    <t>063020</t>
  </si>
  <si>
    <t>Víztermelés, -kezelés, -ellátás</t>
  </si>
  <si>
    <t>Települési hulladék vegyes (ömlesztett) 
begyűjtése, szállítása, átrakása</t>
  </si>
  <si>
    <t>051030</t>
  </si>
  <si>
    <t>Nem veszélyes (települési) hulladék vegyes (ömlesztett) begyűjtése, szállítása, átrakása</t>
  </si>
  <si>
    <t>045120</t>
  </si>
  <si>
    <t>Városi és elővárosi közúti személyszállítás</t>
  </si>
  <si>
    <t>045140</t>
  </si>
  <si>
    <t>522001-1</t>
  </si>
  <si>
    <t>045160</t>
  </si>
  <si>
    <t>841402-1</t>
  </si>
  <si>
    <t>064010</t>
  </si>
  <si>
    <t>066020</t>
  </si>
  <si>
    <t>Más szerv részére végzett pénzügyi-gazdálkodási, üzemeltetési, egyéb szolgáltatások</t>
  </si>
  <si>
    <t>013360</t>
  </si>
  <si>
    <t>086020</t>
  </si>
  <si>
    <t>072210</t>
  </si>
  <si>
    <t>Járóbetegek gyógyító szakellátása</t>
  </si>
  <si>
    <t>Helyi közösségi tér biztosítása, működtetése</t>
  </si>
  <si>
    <t>680001-1</t>
  </si>
  <si>
    <t>Lakóingatlan bérbeadása, üzemeltetése</t>
  </si>
  <si>
    <t>Az önkormányzati vagyonnal való gazdálkodással kapcsolatos feladatok (nem szociális bérlakás)</t>
  </si>
  <si>
    <t>013350</t>
  </si>
  <si>
    <t>Állat-egészségügy</t>
  </si>
  <si>
    <t>042180</t>
  </si>
  <si>
    <t>066010</t>
  </si>
  <si>
    <t>Rövid időtartamú közfoglalkoztatás</t>
  </si>
  <si>
    <t>041231</t>
  </si>
  <si>
    <t>041232</t>
  </si>
  <si>
    <t>Foglalkoztatást helyettesítő támogatásra jogosultak hosszabb időtartamú közfoglalkoztatása</t>
  </si>
  <si>
    <t>041233</t>
  </si>
  <si>
    <t>Hosszabb időtartamú közfoglalkoztatás</t>
  </si>
  <si>
    <t>Egyéb közfoglalkoztatás</t>
  </si>
  <si>
    <t>041237</t>
  </si>
  <si>
    <t>041236</t>
  </si>
  <si>
    <t>Országos közfoglalkoztatási program</t>
  </si>
  <si>
    <t>047410</t>
  </si>
  <si>
    <t>Köztemető-fenntartás és -működtetés</t>
  </si>
  <si>
    <t>013320</t>
  </si>
  <si>
    <t>Az önkormányzati vagyonnal való gazdálkodással kapcsolatos feladatok (önkormányzati tulajdonú üzlethelyiségek, irodák, más ingatlanok hasznosítása)</t>
  </si>
  <si>
    <t>890411-1</t>
  </si>
  <si>
    <t>Hátrányos helyzetű kistérségek speciális komplex felzárkóztató programjai (KOMPLEX telepprogram)</t>
  </si>
  <si>
    <t>Önkormányzatok és társulások elszámolásai a központi költségvetéssel</t>
  </si>
  <si>
    <t>018020</t>
  </si>
  <si>
    <t>Önkormányzatok elszámolásai a központi költségvetéssel</t>
  </si>
  <si>
    <t>841902-9</t>
  </si>
  <si>
    <t>Központi költségvetési befizetések</t>
  </si>
  <si>
    <t>018010</t>
  </si>
  <si>
    <t>A polgári honvédelem ágazati feladatai, a lakosság felkészítése</t>
  </si>
  <si>
    <t>022010</t>
  </si>
  <si>
    <t>Sportlétesítmények, edzőtáborok működtetése és fejlesztése</t>
  </si>
  <si>
    <t>Versenysport-és utánpótlás-nevelési tevékenység</t>
  </si>
  <si>
    <t>081030</t>
  </si>
  <si>
    <t>081041</t>
  </si>
  <si>
    <t>Szakterület szerint besorolandó</t>
  </si>
  <si>
    <t>842160-1</t>
  </si>
  <si>
    <t>031010</t>
  </si>
  <si>
    <t>Közbiztonság, közrend igazgatása</t>
  </si>
  <si>
    <t>081061</t>
  </si>
  <si>
    <t>Mindenféle egyéb szabadidős szolgáltatás</t>
  </si>
  <si>
    <t>061030</t>
  </si>
  <si>
    <t>Lakáshoz jutást segítő támogatások</t>
  </si>
  <si>
    <t>Civil szervezetek programtámogatása</t>
  </si>
  <si>
    <t>084032</t>
  </si>
  <si>
    <t>Országos és helyi nemzetiségi önkormányzati választásokhoz kapcsolódó tevékenységek</t>
  </si>
  <si>
    <t xml:space="preserve">Európai parlamenti képviselőválasztáshoz kapcsolódó tevékenységek </t>
  </si>
  <si>
    <t>Országgyűlési, önkormányzati és európai parlamenti képviselőválasztásokhoz kapcsolódó tevékenységek</t>
  </si>
  <si>
    <t>016010</t>
  </si>
  <si>
    <t>811000-1</t>
  </si>
  <si>
    <t>Önmagában nem közfeladat, alaptevékenység szerinti funkcióhoz</t>
  </si>
  <si>
    <t>562917-1</t>
  </si>
  <si>
    <t>890505-1</t>
  </si>
  <si>
    <t>862211-1</t>
  </si>
  <si>
    <t>13. melléklet</t>
  </si>
  <si>
    <t>BEVÉTELI JOGCÍMEK feladatonként</t>
  </si>
  <si>
    <t>Szakfeladat száma</t>
  </si>
  <si>
    <t>ebből:</t>
  </si>
  <si>
    <t>F</t>
  </si>
  <si>
    <t>G</t>
  </si>
  <si>
    <t>H</t>
  </si>
  <si>
    <t>I</t>
  </si>
  <si>
    <t>J</t>
  </si>
  <si>
    <t>Heves Városi Óvodák és Bölcsőde Köznevelési Intézmény</t>
  </si>
  <si>
    <t>L</t>
  </si>
  <si>
    <t>Hevesi Kulturális Központ önként vállalt feladatok</t>
  </si>
  <si>
    <t>Hevesi Kulturális Központ összsen</t>
  </si>
  <si>
    <t>KÖLTSÉGVETÉSI BEVÉTELEK ÖSSZESEN:</t>
  </si>
  <si>
    <t>KIADÁSI JOGCÍMEK feladatonként</t>
  </si>
  <si>
    <t>Intézmény / feladat finanszírozás</t>
  </si>
  <si>
    <t>Támogatások, egyéb bevételek (rendezés)</t>
  </si>
  <si>
    <t>Kiegészítés</t>
  </si>
  <si>
    <t>Egyéb kötelező önkormányzati feladatok</t>
  </si>
  <si>
    <t>Mezőőri tevékenység</t>
  </si>
  <si>
    <t>Egyéb önállóan vállalt önkormányzati feladatok</t>
  </si>
  <si>
    <t>Egyéb kötelező polgármesteri hivatali feladatok</t>
  </si>
  <si>
    <t>Egyéb önállóan vállalt polgármesteri hivatali feladatok</t>
  </si>
  <si>
    <t>Kormányzati funkció elnevezése</t>
  </si>
  <si>
    <t>Kormányzati funkció</t>
  </si>
  <si>
    <t>2014. évi működési költségvetés előirányzata</t>
  </si>
  <si>
    <t>2014. évi felhalmozási költségvetés előirányzata</t>
  </si>
  <si>
    <t xml:space="preserve"> Működési célú támogatások államháztartáson belülről</t>
  </si>
  <si>
    <t xml:space="preserve"> Működési bevételek</t>
  </si>
  <si>
    <t xml:space="preserve"> Működési célú átvett pénzeszközök</t>
  </si>
  <si>
    <t xml:space="preserve"> Ellátottak pénzbeli juttatásai</t>
  </si>
  <si>
    <t>016030</t>
  </si>
  <si>
    <t>Heves Városi Óvodák és Bölcsőde Köznevelési Intézmény állami (államigazgatási) feladatok</t>
  </si>
  <si>
    <t>Hevesi Kulturális Központ állami (államigazgatási) feladatok</t>
  </si>
  <si>
    <t>Önkormányzatok és társulások általános végrehajtó igazgatási tevékenysége (ÁROP Hivatal fejlesztés)</t>
  </si>
  <si>
    <t>Hevesi Polgármesteri Hivatal állami (államigazgatási) feladatai</t>
  </si>
  <si>
    <t xml:space="preserve">890442-1 </t>
  </si>
  <si>
    <t>890443-1</t>
  </si>
  <si>
    <t>2014. ÉVI FELHALMOZÁSI CÉLÚ KIADÁSAI</t>
  </si>
  <si>
    <t>2014. ÉVI CÉLJELEGGEL NYÚJTOTT TÁMOGATÁSOK, ÁTADOTT PÉNZEK</t>
  </si>
  <si>
    <t>HEVES VÁROS ÖNKORMÁNYZATA ÉS KÖLTSÉGVETÉSI SZERVEI KÖLTSÉGVETÉSI BEVÉTELI ÉS KIADÁSI ELŐIRÁNYZATAI FELADATONKÉNT</t>
  </si>
  <si>
    <t>2014. évi költségvetés</t>
  </si>
  <si>
    <t>Közfoglalkoztatás és szociális juttatások</t>
  </si>
  <si>
    <t>KÖLTSÉGVETÉSI BEVÉTELEK / KIADÁSOK ÖSSZESEN</t>
  </si>
  <si>
    <t>FINANSZÍROZÁSI BEVÉTELEK / KIADÁSOK</t>
  </si>
  <si>
    <t>BEVÉTELEK / KIADÁSOK MINDÖSSZESEN</t>
  </si>
  <si>
    <t>Szociális juttatások</t>
  </si>
  <si>
    <t>Önkormányzatok és társulások általános végrehajtó igazgatási tevékenysége és építmény üzemeltetés</t>
  </si>
  <si>
    <t>EU-s pályázatok</t>
  </si>
  <si>
    <t>Építményüzemeltetés</t>
  </si>
  <si>
    <t>3.6.</t>
  </si>
  <si>
    <r>
      <t xml:space="preserve">I/2. Közhatalmi bevételek (B3) </t>
    </r>
    <r>
      <rPr>
        <b/>
        <i/>
        <sz val="9"/>
        <rFont val="Times New Roman"/>
        <family val="1"/>
      </rPr>
      <t>[=3.1.+…+3.6.]</t>
    </r>
  </si>
  <si>
    <t>Egyéb közhatalmi bevételek (B36)</t>
  </si>
  <si>
    <t>PH épület felújítás</t>
  </si>
  <si>
    <t>PH kazáncsere</t>
  </si>
  <si>
    <t>Hivatali gépjármű vásárlás</t>
  </si>
  <si>
    <t>12. melléklet</t>
  </si>
  <si>
    <t>Az önkormányzat 2014. évi adósságot keletkeztető fejlesztési céljai</t>
  </si>
  <si>
    <t>2013.</t>
  </si>
  <si>
    <t>Sportcsarnok ÁFA fizetés</t>
  </si>
  <si>
    <t>Reorganizációs hitel (OTP) *</t>
  </si>
  <si>
    <t>Reorganizációs hitel (Volksbank) *</t>
  </si>
  <si>
    <t>Reorganizációs hitel (Takarékbank) *</t>
  </si>
  <si>
    <t>* 2014. február 28-i adósságátvállalás időpontjáig felmerülő költségek.</t>
  </si>
  <si>
    <t>15. melléklet</t>
  </si>
  <si>
    <t>Adatszolgáltatás az elismert tartozásállományról</t>
  </si>
  <si>
    <t>Költségvetési szerv neve:</t>
  </si>
  <si>
    <t>…………………………………</t>
  </si>
  <si>
    <t>Költségvetési szerv számlaszáma:</t>
  </si>
  <si>
    <t>Éves eredeti kiadási előirányzat: …………… ezer Ft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</si>
  <si>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</si>
  <si>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</si>
  <si>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</si>
  <si>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</si>
  <si>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60-90 nap 
közötti 
állomány</t>
  </si>
  <si>
    <t>90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</si>
  <si>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</si>
  <si>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</si>
  <si>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</si>
  <si>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</si>
  <si>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</si>
  <si>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</si>
  <si>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</si>
  <si>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</si>
  <si>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Intézmény</t>
  </si>
  <si>
    <t>Nyersanyagnorma</t>
  </si>
  <si>
    <t>Áfa nélkül</t>
  </si>
  <si>
    <t>Áfá-val</t>
  </si>
  <si>
    <t>Reggeli</t>
  </si>
  <si>
    <t>Tízórai</t>
  </si>
  <si>
    <t>Ebéd</t>
  </si>
  <si>
    <t>Uzsonna</t>
  </si>
  <si>
    <t>Hivatali Konyha (saját dolgozó, vendég)</t>
  </si>
  <si>
    <t>1. függelék</t>
  </si>
  <si>
    <t>Évek</t>
  </si>
  <si>
    <t>2014.</t>
  </si>
  <si>
    <t>2. függelék</t>
  </si>
  <si>
    <t>Útkarbantartás</t>
  </si>
  <si>
    <t>közvilágítás</t>
  </si>
  <si>
    <t>közkifolyók</t>
  </si>
  <si>
    <t>temető fenntartás</t>
  </si>
  <si>
    <t>parkfenntartás és köztisztaság</t>
  </si>
  <si>
    <t>Az elmúlt évek takarékossági intézkedései miatt a parkfenntartási feladatokat közvetlenül a Polgármesteri Hivatal szervezi és látja el, külső cég bevonása nélkül. A felmerülő feladatokat közfoglalkoztatottak bevonásával látjuk el. 2012-ben beszerzésre került a startmunka keretén belül egy kisteherautó. Ennek a  fenntartási költségeit is ide terveztük. Felmerülő egyéb költségek:</t>
  </si>
  <si>
    <t xml:space="preserve">Öntözés </t>
  </si>
  <si>
    <t>Padok, szemetesek javítása, utcabútorok</t>
  </si>
  <si>
    <t xml:space="preserve">Konténer szállítás (150 alkalom) </t>
  </si>
  <si>
    <t>Kisteherautó, munkagépek üzemeltetése (üzemanyag, karbantartás, javítás)</t>
  </si>
  <si>
    <t>települési hulladékkezelés</t>
  </si>
  <si>
    <t>Támogatás megszűnt.</t>
  </si>
  <si>
    <t>1-2 fős családok esetében (20% támogatás):</t>
  </si>
  <si>
    <t xml:space="preserve">70 év fölöttiek esetében (20% támogatás):   </t>
  </si>
  <si>
    <t>állategészségügyi feladatok</t>
  </si>
  <si>
    <t>városgazdálkodás</t>
  </si>
  <si>
    <t>közfoglalkoztatás</t>
  </si>
  <si>
    <t>2.1</t>
  </si>
  <si>
    <t>közterület használat</t>
  </si>
  <si>
    <t>2.2</t>
  </si>
  <si>
    <t>haszonbérleti díj</t>
  </si>
  <si>
    <t>A haszonbérleti szerződések lejártak. Döntést igényel, hogy maradnak-e önkormányzati tulajdonban vagy elidegenítésre kerülnek.</t>
  </si>
  <si>
    <t>2.3</t>
  </si>
  <si>
    <t>Hirdetmények kifüggesztése</t>
  </si>
  <si>
    <t>2.4</t>
  </si>
  <si>
    <t>2.5</t>
  </si>
  <si>
    <t>vagyonkezelési szerződések</t>
  </si>
  <si>
    <t>2.6</t>
  </si>
  <si>
    <t>vízmű által fizetett bérleti díj</t>
  </si>
  <si>
    <t>2.7</t>
  </si>
  <si>
    <t>ingatlan bérbeadás</t>
  </si>
  <si>
    <t>piac bérleti szerződés</t>
  </si>
  <si>
    <t>2.8</t>
  </si>
  <si>
    <t>bírósági döntés alapján</t>
  </si>
  <si>
    <t>A Baucont Zrt részéről jogerős bírósági döntés alapján:</t>
  </si>
  <si>
    <t>(a cég felszámolás alatt, kifizetés kérdéses)</t>
  </si>
  <si>
    <t>2.9</t>
  </si>
  <si>
    <t>ingatlaneladás</t>
  </si>
  <si>
    <t>kiadás</t>
  </si>
  <si>
    <t>bér + járulék</t>
  </si>
  <si>
    <t>ruha</t>
  </si>
  <si>
    <t>telefonköltség</t>
  </si>
  <si>
    <t>flotta telefon használatával az előfizetés díjára korlátozódik</t>
  </si>
  <si>
    <t>üzemanyag</t>
  </si>
  <si>
    <t>bevétel</t>
  </si>
  <si>
    <t>Járulék</t>
  </si>
  <si>
    <t>Gyep</t>
  </si>
  <si>
    <t>Gyümölcsös</t>
  </si>
  <si>
    <t>Szántó</t>
  </si>
  <si>
    <t>előző évről áthuzódó kiszámlázott tételek</t>
  </si>
  <si>
    <t>állami támogatás</t>
  </si>
  <si>
    <t>......................, 2014. .......................... hó ..... nap</t>
  </si>
  <si>
    <t>Felnőtt (saját dolgozó, vendég) HVÓBKI</t>
  </si>
  <si>
    <t>Gyermekétkeztetés, munkahelyi étkeztetés, egyéb vendéglátás nyersanyagnormája és térítési díja 2014. január 1-től *</t>
  </si>
  <si>
    <t>Általános iskola háromszori étkezés</t>
  </si>
  <si>
    <t>Óvoda háromszori étkezés</t>
  </si>
  <si>
    <t>Bölcsöde négyszeri étkezés</t>
  </si>
  <si>
    <t>Térítési díjak (Áfá-val)</t>
  </si>
  <si>
    <t>*a közbeszerzés lefolytatásig szolgáltató cég díjai alapján</t>
  </si>
  <si>
    <t>Heves Város Önkormányzata saját bevételeinek, valamint az adósságot keletkeztető ügyletekből származó fizetési kötelezettségeinek várható alakulása  2014-2017. években</t>
  </si>
  <si>
    <t>Az üzemeltetést a Polgármesteri Hivatal végzi. Indokolt lenne egy nyilvántartó szoftver beszerzése kb. 90.000 Ft értékben. Szükséges lenne egy temetőgondnok foglalkoztatása, de a keletkező bevételek ezt nem tudják megfinanszírozni. 2013-ban temetőgondnok közfoglalkoztatás keretén belül volt biztosítható, de ez csak időszakos megoldást jelentett.</t>
  </si>
  <si>
    <t xml:space="preserve">Bevétel az összevezetéses eboltás átszervezése óta nem keletkezik.  A város területén sok a kóbor eb és ennek felszámolása csak úgy lehetséges, ha havonta történik az ebek begyűjtése. </t>
  </si>
  <si>
    <t xml:space="preserve">A starmunka program keretében 2014-ben is pályázunk. A mezőgazdasági és a téli és egyéb értékteremtő programban 101 fő foglalkoztatását tervezzük az útkarbantartásra és a belvízelvezető csatornák karbantartására még nincs kiírva a pályázat, melynek bér és járulék költsége 100%-ban támogatott. </t>
  </si>
  <si>
    <t xml:space="preserve">A 2013-es évhez hasonlóan megmarad a helyi szinten működő közfoglalkoztatás, amely hosszabbtávú, több hónapos 6-8 órás időtartamot jelent. A téli átmeneti közfoglalkoztatásban januártól- április 30-ig 471 fő foglalkoztatása valósul meg, 100%-os támogatással. A tárgyi eszköz beszerzésre a pályázatban 9.919.380 Ft vehető igénybe, amely szintén 100%-ban támogatott.  Az előző évekhez hasonlóan a nagy létszámú foglalkoztatás miatt szükség van egy adminisztratív szervező, irányító és ellenőrző munkaszervezetre is.  </t>
  </si>
  <si>
    <t>A hagyományos közfoglalkoztatás 2014 évre vonatkozó támogatottsága még nem ismert. Valószínűleg a 2013-as évhez hasonlóan a  hosszabb távú foglalkoztatás 70-100%-ban lesz támogatható és a dologi kiadásokra nem kapunk támogatást.</t>
  </si>
  <si>
    <t>A közfoglalkoztatási bér bruttó összege 8 órás foglalkoztatás esetében 77.300 forint, a garantált bér összege 99.100. A kifizetés havi rendszerességgel történik.</t>
  </si>
  <si>
    <t>Az útkarbantartási feladatok nagy részét (kátyúzás, burkolati jelek felfestése, járdafelújítás, KRESZ táblák cseréje) a közmunkaprogramban foglalkoztatottakkal tervezzük megvalósítani. A jelenlegi közmunka program a személyi és dologi kiadásokat egyáltalán nem támogatja, ezért ezekhez a feladatokhoz forrást kell tervezni.</t>
  </si>
  <si>
    <t>A közvilágítási villamos energia beszerzésére, illetve a közvilágítás aktív elem üzemeltetésére kiírt közbeszerződési eljárás várhatóan 2014-ben eredményesen lezárul, melynek eredményeképpen a közvilágítás vonatkozásában csak csekély kiadásnövekedés prognosztizálható.</t>
  </si>
  <si>
    <t>A közkifolyók számának további csökkentése nem lehetséges, ezért a szakfeladatra előirányzott költség meghatározása a 2013 évi teljesítés, illetve a prognosztizált infláció értékét figyelembevételével történt.</t>
  </si>
  <si>
    <t>A gyakran megjelenő és az előre nem tervezhető feladatok elvégzésére a keret növelése indokolt. 
Jogszabály kötelezi a településeket a központi közműnyilvántartás feladatainak ellátására. Az eddigi papír alapú nyilvántartás nehézkes, szinte kezelhetetlen. A digitális nyilvántartásra történő átállás elkerülhetetlen. A központi közműnyilvántartás megpályáztatásával a költségek szinten tarthatók.</t>
  </si>
  <si>
    <t>Városüzemeltetési feladatok 2014.</t>
  </si>
  <si>
    <t>1.3.</t>
  </si>
  <si>
    <t>1.4.</t>
  </si>
  <si>
    <t>1.5.</t>
  </si>
  <si>
    <t>1.6.</t>
  </si>
  <si>
    <t>1.7.</t>
  </si>
  <si>
    <t>1.8.</t>
  </si>
  <si>
    <t>1.9.</t>
  </si>
  <si>
    <t xml:space="preserve">3. </t>
  </si>
  <si>
    <t>Mezőőri szolgálat költségvetése</t>
  </si>
  <si>
    <t xml:space="preserve"> Beruházások, pályázatok</t>
  </si>
  <si>
    <t>A közterület használati díjak 2014. évben nem emelkedtek, ennek megfelelően az elmúlt évi bevételekkel terveztünk.</t>
  </si>
  <si>
    <t>Dr. Szegő Imre Idősek és Mozgásfogyatékosok Otthona, Fehér Hárs Idősek Otthona, Gondozási Központ</t>
  </si>
  <si>
    <t>1. KEOP-7.1.3.0-2008-0036 Hevesi kistérségi települések ivóvízminőség-javító programjának II. üteme (LEZÁRULT)*</t>
  </si>
  <si>
    <t>2. KEOP 1.3.0./09-11-2011-0012 Hevesi Kistérségi Települések Ivóvízminőség javító program (I. ütem) (MEGVALÓSÍTÁS FOLYAMATBAN)</t>
  </si>
  <si>
    <t>DH-i Ívóvízminőség-javító Önkormányzati Társulás</t>
  </si>
  <si>
    <t>* megelőlegezett önrész visszautalásra kerül</t>
  </si>
  <si>
    <t>REGIO-KOM Térségi Kommunális Szolgáltató Társulás</t>
  </si>
  <si>
    <t>Támogatott / EU projekt neve</t>
  </si>
  <si>
    <t>1. KEOP 2009-7.1.1.1 Jászberényi és Dél- hevesi Kistérségben lévő 32 település hulladékgazdálkodási rendszerének fejlesztése (I. forduló) - hulladékudvar (MEGVAÓSÍTÁS FOLYAMATBAN)</t>
  </si>
  <si>
    <t>ÉMOP-3.1.2/A-09-2f-2011-0008</t>
  </si>
  <si>
    <t>Heves város funkcióbővítő településrehabilitáció</t>
  </si>
  <si>
    <t>ÉMOP-4.1.1/B-09-2010-0002</t>
  </si>
  <si>
    <t>Járóbeteg szakellátó központ létrehozása a Hevesi Kistérségben</t>
  </si>
  <si>
    <t>ÉMOP-4.3.1/A-11-2012-0005</t>
  </si>
  <si>
    <t>Hevesi Csoda-Vár óvoda infrastrukturális megújulása</t>
  </si>
  <si>
    <t>TIOP-1.2.3-11/1-2012-0153</t>
  </si>
  <si>
    <t>Informatikai fejlesztés Heves város Újtelepi Általános Tagiskola könyvtárában</t>
  </si>
  <si>
    <t>TÁMOP-5.3.6-11/1-2012-0015</t>
  </si>
  <si>
    <t>Komplex telep-program</t>
  </si>
  <si>
    <t>TIOP-1.2.3-11/1-2012-0165</t>
  </si>
  <si>
    <t>Könyvtári informatika fejlesztése a Hevesi József Általános Tagiskola könyvtárában Hevesen</t>
  </si>
  <si>
    <t>(MEGVALÓSÍTÁS FOLYAMATBAN, KLIK-NEK ÁTADVA)</t>
  </si>
  <si>
    <t>(MEGVALÓSÍTÁS FOLYAMATBAN)</t>
  </si>
  <si>
    <t>(MEGVALÓSÍTÁS FOLYAMATBAN, GYEMSZI-NEK ÁTADÁSRA KERÜL)</t>
  </si>
  <si>
    <t>ÁROP-1.A.5-2013</t>
  </si>
  <si>
    <t>Szervezetfejlesztés a konvergencia régiókban levő önkormányzatok számára - Szakmai koncepció Heves Város Önkormányzat</t>
  </si>
  <si>
    <t>kamat</t>
  </si>
  <si>
    <t>egyéb költség</t>
  </si>
  <si>
    <t>OTP Bank reorganizációs hitel  tőke</t>
  </si>
  <si>
    <t>Takarékbank reorganizációs hitel  tőke</t>
  </si>
  <si>
    <t>Volksbank reorganizációs hitel  tőke</t>
  </si>
  <si>
    <t>Önkormányzati kiegészítések feladatonként</t>
  </si>
  <si>
    <t xml:space="preserve">J e g y z é k </t>
  </si>
  <si>
    <t>Kötelező tartalom (Áht. 23. § (2) bekezdése és az Ávr. 24. §-a szerint)</t>
  </si>
  <si>
    <t>Működési célú bevételek és kiadások mérlege (önkormányzati összesen)</t>
  </si>
  <si>
    <t>Felhalmozási célú bevételek és kiadások mérlege (önkormányzati összesen)</t>
  </si>
  <si>
    <t>Európai uniós támogatással megvalósuló projektek bevételei, kiadásai, hozzájárulások</t>
  </si>
  <si>
    <t>Az önkormányzat adósságot keletkeztető ügyletekből és kezességvállalásokból fennálló kötelezettségei, fejlesztési céljai, fizetési kötelezettség megállapításához saját bevételei részletezése</t>
  </si>
  <si>
    <t>Kötelező tájékoztatás (Áht. 24. § (4) bekezdése szerint)</t>
  </si>
  <si>
    <t>8. melléklet</t>
  </si>
  <si>
    <t>Egyéb nem kötelező tartalom</t>
  </si>
  <si>
    <t>Az önkormányzat bevételi és kiadási előirányzatai feladatonként</t>
  </si>
  <si>
    <t>Önkormányzati kiegészítés feladatonként</t>
  </si>
  <si>
    <t>16. melléklet</t>
  </si>
  <si>
    <t>Függelékek</t>
  </si>
  <si>
    <t>Heves Város Önkormányzata 2014. évi költségvetésének mellékleteiről</t>
  </si>
  <si>
    <t xml:space="preserve">Heves Város Önkormányzata és költségvetési szervei 2014. évi költségvetésének összesített pénzügyi mérlege </t>
  </si>
  <si>
    <t xml:space="preserve">Heves Város Önkormányzata 2014. évi költségvetésének pénzügyi mérlege </t>
  </si>
  <si>
    <t xml:space="preserve">Heves Városi Óvodák és Bölcsőde Köznevelési Intézmény 2014. évi költségvetésének pénzügyi mérlege </t>
  </si>
  <si>
    <t>Heves Város Önkormányzata és költségvetési szervei 2014. évi létszámkerete</t>
  </si>
  <si>
    <t>Heves Város Önkormányzata és költségvetési szervei 2014. évi költségvetésének összesített pénzügyi mérlege (a tárgyévet megelőző két év teljesítési adataival kiegészítve)</t>
  </si>
  <si>
    <t>Heves Város Önkormányzata 2014. évi általános működésének és ágazati feladatainak támogatásának alakulása jogcímenként</t>
  </si>
  <si>
    <t>2014. évi felhalmozási célú kiadások</t>
  </si>
  <si>
    <t>2014. évi céljelleggel nyújtott támogatások</t>
  </si>
  <si>
    <t>Gyermekétkeztetés, munkahelyi étkeztetés, egyéb vendéglátás nyersanyagnormája és térítési díja 2014. január 1-től</t>
  </si>
  <si>
    <t>Városüzemeltetési feladatok 2014. évi részletes költségvetése</t>
  </si>
  <si>
    <t>Helyi adóból származó bevétel</t>
  </si>
  <si>
    <t>Az önkormányzati vagyon és az önkormányzatot megillető vagyoni értékű jog értékesítéséből és hasznosításából származó bevétel</t>
  </si>
  <si>
    <t>Osztalék, a koncessziós díj és a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</si>
  <si>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</si>
  <si>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</si>
  <si>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ADÓSSÁGOT KELETKEZTETŐ ÜGYLETEK 2014. ÉVI VÁRHATÓ EGYÜTTES ÖSSZEGE</t>
  </si>
  <si>
    <r>
      <t>Saját bevételek (1.+...+6.)</t>
    </r>
    <r>
      <rPr>
        <b/>
        <vertAlign val="superscript"/>
        <sz val="9"/>
        <rFont val="Times New Roman CE"/>
        <family val="0"/>
      </rPr>
      <t>2</t>
    </r>
  </si>
  <si>
    <r>
      <t>Saját bevételek (7. sor) 50%-a</t>
    </r>
    <r>
      <rPr>
        <b/>
        <vertAlign val="superscript"/>
        <sz val="9"/>
        <rFont val="Times New Roman CE"/>
        <family val="0"/>
      </rPr>
      <t>2</t>
    </r>
  </si>
  <si>
    <t>Saját bevételek (7. sor) 50%-a</t>
  </si>
  <si>
    <t>Saját bevételek (1.+...+6.)</t>
  </si>
  <si>
    <t>Halasztott fizetés, részletfizetés</t>
  </si>
  <si>
    <t>Visszavásárlási kötelezettség kikötésével megkötött adásvételi szerződés eladói félként történő megkötése a visszavásárlásig, és a kikötött visszavásárlási ár</t>
  </si>
  <si>
    <t>Hitelintézetek által, származékos műveletek különbözeteként az Államadósság Kezelő Központ Zrt.-nél elhelyezett fedezeti betétek, és azok összege</t>
  </si>
  <si>
    <r>
      <t>Előző év(ek)ben keletkezett tárgyévet terhelő fizetési kötelezettség</t>
    </r>
    <r>
      <rPr>
        <b/>
        <vertAlign val="superscript"/>
        <sz val="9"/>
        <rFont val="Times New Roman CE"/>
        <family val="0"/>
      </rPr>
      <t>3</t>
    </r>
    <r>
      <rPr>
        <b/>
        <sz val="9"/>
        <rFont val="Times New Roman CE"/>
        <family val="0"/>
      </rPr>
      <t xml:space="preserve"> (10.+...+18.)</t>
    </r>
  </si>
  <si>
    <r>
      <t>Tárgyévben keletkezett, illetve keletkező, tárgyévet terhelő fizetési kötelezettség</t>
    </r>
    <r>
      <rPr>
        <b/>
        <vertAlign val="superscript"/>
        <sz val="9"/>
        <rFont val="Times New Roman CE"/>
        <family val="0"/>
      </rPr>
      <t xml:space="preserve">3 </t>
    </r>
    <r>
      <rPr>
        <b/>
        <sz val="9"/>
        <rFont val="Times New Roman CE"/>
        <family val="0"/>
      </rPr>
      <t>(20.+...+28.)</t>
    </r>
  </si>
  <si>
    <t>Fizetési kötelezettség összesen (9.+19.)</t>
  </si>
  <si>
    <t>Fizetési kötelezettséggel csökkentett saját bevétel (8.-29.)</t>
  </si>
  <si>
    <t>Előző év(ek)ben keletkezett tárgyévet terhelő fizetési kötelezettség (10.+...+18.)</t>
  </si>
  <si>
    <t>Tárgyévben keletkezett, illetve keletkező, tárgyévet terhelő fizetési kötelezettség (20.+...+28.)</t>
  </si>
  <si>
    <t xml:space="preserve">Hevesi Polgármesteri Hivatal 2014. évi költségvetésének pénzügyi mérlege </t>
  </si>
  <si>
    <t xml:space="preserve">Hevesi Kulturális Központ 2014. évi költségvetésének pénzügyi mérlege </t>
  </si>
  <si>
    <t xml:space="preserve">Heves Város Önkormányzata 2014. évi költségvetési rendelet tervezete </t>
  </si>
  <si>
    <t>Dél-Hevesi Ivóvízminőség-javító pályázathoz telekvásárlás</t>
  </si>
  <si>
    <t>Arany J. 8. épület kazán</t>
  </si>
  <si>
    <t>Vízmű bérleti szerződés (tervezett)</t>
  </si>
  <si>
    <t>foglalkozás eü. szolgáltatás</t>
  </si>
  <si>
    <t>Sportszékház*</t>
  </si>
  <si>
    <t>* a HEVA Kft. sportszékház üzemeltetéséhez kért önkormányzati támogatása az önkormányzati igazgatási soron dologi kiadásként szerepel</t>
  </si>
  <si>
    <t>Hátrányos helyzetű kistérségek speciális komplex felzárkóztató programjai</t>
  </si>
  <si>
    <r>
      <rPr>
        <vertAlign val="superscript"/>
        <sz val="9"/>
        <rFont val="Times New Roman CE"/>
        <family val="0"/>
      </rPr>
      <t>2</t>
    </r>
    <r>
      <rPr>
        <sz val="9"/>
        <rFont val="Times New Roman CE"/>
        <family val="0"/>
      </rPr>
      <t xml:space="preserve"> A tárgyévet követő 3. évtől a futamidő végéig változatlan összeggel.</t>
    </r>
  </si>
  <si>
    <r>
      <rPr>
        <vertAlign val="superscript"/>
        <sz val="9"/>
        <rFont val="Times New Roman CE"/>
        <family val="0"/>
      </rPr>
      <t>3</t>
    </r>
    <r>
      <rPr>
        <sz val="9"/>
        <rFont val="Times New Roman CE"/>
        <family val="0"/>
      </rPr>
      <t xml:space="preserve"> Az adósságot keletkeztető ügyletekből eredő fizetési kötelezettségek, amelyekbe nem számítandó bele a likvid hitelből, az európai uniós vagy más nemzetközi szervezettől elnyert támogatás előfinanszírozásának biztosítására szolgáló adósságot keletkeztető ügyletből, a víziközmű-társulattól annak megszűnése miatt átvett hitelből, és az adósságrendezési eljárás során a hitelezői egyezség megkötéséhez igénybe vett reorganizációs hitelből származó, de beleszámítandó a kezesség-, illetve garanciavállalásból eredő, jogosult által érvényesített fizetési kötelezettség összege. Adósságot keletkeztető ügyletként nem kell figyelembe venni a költségvetési év első hat hónapjában lejáró adósság előző költségvetési évben történő előfinanszírozását, amelynek összege nem haladja meg a költségvetési év első hat hónapja során várható törlesztések összegét.</t>
    </r>
  </si>
  <si>
    <r>
      <rPr>
        <u val="single"/>
        <sz val="9"/>
        <rFont val="Times New Roman"/>
        <family val="1"/>
      </rPr>
      <t xml:space="preserve">Kátyúzás: </t>
    </r>
    <r>
      <rPr>
        <sz val="9"/>
        <rFont val="Times New Roman"/>
        <family val="1"/>
      </rPr>
      <t>Az elmúlt évben a város belterületi utjain jelentős mértékű kátyúzási munkákat végeztünk, melynek következtében minimális kátyúzási és munkákkal kell számoljunk. Előzetes becslésünk szerint mintegy 30-35 t aszfalt beszerzésével, illetve leszállításával tervezünk. A kiviteli munkákat a közmunka keretében finanszírozott munkásokkal és az előzőévekben beszerzett kisgépekkel és eszközökkel valósítjuk meg.</t>
    </r>
  </si>
  <si>
    <r>
      <rPr>
        <u val="single"/>
        <sz val="9"/>
        <rFont val="Times New Roman"/>
        <family val="1"/>
      </rPr>
      <t>Útkarbantartás és felújítás</t>
    </r>
    <r>
      <rPr>
        <sz val="9"/>
        <rFont val="Times New Roman"/>
        <family val="1"/>
      </rPr>
      <t>: Településünk belterületi közúthálózatában jelenleg is vannak rossz állapotú föld, illetve makadám rendszerű zúzottkő alapú utak. Különösen a város belterületén lévő Tavasz, Dr. Guba Sándor, Újvidéki, Radnóti, Szegfű utcák aszfalt burkolattal történő ellátását tervezzük.
A Pusztacsász városrész utcáinak szilárd burkolattal történő ellátását a „Komplex telep program” pályázat keretében tervezzük megvalósítani melynek támogatási intenzitása 100%  ezért erre a beruházásra forrást nem tervezünk.</t>
    </r>
  </si>
  <si>
    <r>
      <rPr>
        <u val="single"/>
        <sz val="9"/>
        <rFont val="Times New Roman"/>
        <family val="1"/>
      </rPr>
      <t>KRESZ táblák pótlása</t>
    </r>
    <r>
      <rPr>
        <sz val="9"/>
        <rFont val="Times New Roman"/>
        <family val="1"/>
      </rPr>
      <t>: Az elmúlt években forrás hiány miatt nem került sor az elhasználódott KRESZ táblák pótlására. 2014. évben erre a feladatra forrást kell biztosítani. A lekopott megrongálódott, hiányos táblák komoly baleset veszélyt jelentenek – pótlásuk biztosítására forrást terveztünk.</t>
    </r>
  </si>
  <si>
    <r>
      <rPr>
        <u val="single"/>
        <sz val="9"/>
        <rFont val="Times New Roman"/>
        <family val="1"/>
      </rPr>
      <t>Járdafelújítás</t>
    </r>
    <r>
      <rPr>
        <sz val="9"/>
        <rFont val="Times New Roman"/>
        <family val="1"/>
      </rPr>
      <t>: A település járdáinak felújítására továbbra is nagy az igény ezért erre a szakfeladatra 2014. évi költségvetésben forrást tervezünk biztosítani.</t>
    </r>
  </si>
  <si>
    <r>
      <rPr>
        <u val="single"/>
        <sz val="9"/>
        <rFont val="Times New Roman"/>
        <family val="1"/>
      </rPr>
      <t>Csapadékvíz hálózat karbantartása</t>
    </r>
    <r>
      <rPr>
        <sz val="9"/>
        <rFont val="Times New Roman"/>
        <family val="1"/>
      </rPr>
      <t>: Főleg a városközponti zárt csapadék vízelvezető rendserének átmosatása tisztítása szükséges. A teljes rendszer áteresztő képessége 15-20%. A városközpont rehabilitációjának megvalósulásával a burkolt felületek megnövekednek. Az így keletkezett csapadék többlet elvezetéséhez a csatornahálózat átmosatására,- tisztítására forrást terveztünk.</t>
    </r>
  </si>
  <si>
    <r>
      <rPr>
        <u val="single"/>
        <sz val="9"/>
        <rFont val="Times New Roman"/>
        <family val="1"/>
      </rPr>
      <t>Síkosság mentesítés</t>
    </r>
    <r>
      <rPr>
        <sz val="9"/>
        <rFont val="Times New Roman"/>
        <family val="1"/>
      </rPr>
      <t>: Költsége időjárás függő. Költségeit az elmúlt évek viszonyait figyelembe véve prognosztizáltuk.</t>
    </r>
  </si>
  <si>
    <r>
      <t>területalapú támogatás</t>
    </r>
    <r>
      <rPr>
        <sz val="9"/>
        <rFont val="Times New Roman"/>
        <family val="1"/>
      </rPr>
      <t> </t>
    </r>
  </si>
  <si>
    <t>közh</t>
  </si>
  <si>
    <t>Adónem</t>
  </si>
  <si>
    <t>Decemer</t>
  </si>
  <si>
    <t>szja</t>
  </si>
  <si>
    <t>Iparüzési</t>
  </si>
  <si>
    <t>gadó+egyéb</t>
  </si>
  <si>
    <t>Mag.sz. komm.</t>
  </si>
  <si>
    <t>adók</t>
  </si>
  <si>
    <t>Építmény</t>
  </si>
  <si>
    <t>Gépjármű+egyéb</t>
  </si>
  <si>
    <t>Idegenforg.</t>
  </si>
  <si>
    <t>Pótlék, bírság</t>
  </si>
  <si>
    <t>Sportcsarnok tetőtér statikai felülvizsgálat</t>
  </si>
  <si>
    <t>Függő, átfutó, kiegyenlítő kiadások</t>
  </si>
  <si>
    <t>Függő, átfutó, kiegyenlítő bevételek</t>
  </si>
  <si>
    <t>BEVÉTELI / KIADÁSI JOGCÍMEK feladatonként</t>
  </si>
  <si>
    <t>BEVÉTEL</t>
  </si>
  <si>
    <t>KIADÁS</t>
  </si>
  <si>
    <t xml:space="preserve"> - Gyermekétkeztetési és múzeumi normatíva pontosítása</t>
  </si>
  <si>
    <t xml:space="preserve"> - LEADER pályázat HKK-tól ÖNK-hoz</t>
  </si>
  <si>
    <t xml:space="preserve"> - PH illetmény kiegészítés kerete céltartalékba</t>
  </si>
  <si>
    <t xml:space="preserve"> - Fejlesztési feladatok önrészére céltartalék városüzemeltetési feladatokról</t>
  </si>
  <si>
    <t xml:space="preserve"> - Civil szervezetek, alapítványok, sportegysületek támogatása felülvizsgálata</t>
  </si>
  <si>
    <t xml:space="preserve"> - HEVA Kft. sportcsarnok üzemeltetés felülvizsgálata, céltartalék</t>
  </si>
  <si>
    <t xml:space="preserve"> - Normatíva visszafizetés, kamat (2012. évi beszámoló felülvizsgálata)</t>
  </si>
  <si>
    <t xml:space="preserve"> - Városüzemeltetési feladatok kiadásainak felülvizsgálata (síkosságmentesítés)</t>
  </si>
  <si>
    <t xml:space="preserve"> - Bevételek felülvizsgálata (2013. évi területalapú támogatás)</t>
  </si>
  <si>
    <t xml:space="preserve"> - ÉMOP járóbeteg pályázat támogatás pontosítása</t>
  </si>
  <si>
    <t xml:space="preserve"> - Segélyek felülvizsgálata</t>
  </si>
  <si>
    <t xml:space="preserve"> - Segélyek felülvizsgálata (rendszeres szociális segély, foglalkoztatás helyettesítő támogatás)</t>
  </si>
  <si>
    <t xml:space="preserve"> - Bevételek felülvizsgálata (önk-i hitel)</t>
  </si>
  <si>
    <t xml:space="preserve"> - Cafetéria</t>
  </si>
  <si>
    <t xml:space="preserve"> - Polgármester jutalmának csökkentése</t>
  </si>
  <si>
    <t xml:space="preserve"> - Reprezentációs költségek áthelyezése dologi kiadásból személyi kiadásba</t>
  </si>
  <si>
    <t xml:space="preserve"> - Informatikai fejlesztés helyett bérlés (csak március 1-től)</t>
  </si>
  <si>
    <t xml:space="preserve"> - PH kiadások felülvizsgálata</t>
  </si>
  <si>
    <t xml:space="preserve"> - HVÓBKI kiadások felülvizsgálata</t>
  </si>
  <si>
    <t xml:space="preserve"> - HKK kiadások felülvizsgálata</t>
  </si>
  <si>
    <t>KÖLTSÉGVETÉSI BEVÉTELEK / KIADÁSOK ÖSSZESEN:</t>
  </si>
  <si>
    <t>MEGNEVEZÉS</t>
  </si>
  <si>
    <t>I. forduló</t>
  </si>
  <si>
    <t>módosítás</t>
  </si>
  <si>
    <t>II. forduló</t>
  </si>
  <si>
    <t>Forráshiány (Helyi önkormányzatok kiegészítő támogatásai)</t>
  </si>
  <si>
    <t>Ebből: Nav ÁFA tartozás</t>
  </si>
  <si>
    <t>ÉMOP városrehab pályázat önrész</t>
  </si>
  <si>
    <t>Egyéb feladatokhoz önkormányzati kiegészítés</t>
  </si>
  <si>
    <t>Gyermekétkeztetési és múzeumi normatíva pontosítása</t>
  </si>
  <si>
    <t>LEADER pályázat HKK-tól ÖNK-hoz</t>
  </si>
  <si>
    <t>PH illetmény kiegészítés kerete céltartalékba</t>
  </si>
  <si>
    <t>Polgármester jutalmának csökkentése</t>
  </si>
  <si>
    <t>Cafetéria mezőőrök</t>
  </si>
  <si>
    <t>Informatikai fejlesztés helyett bérlés (csak március 1-től)</t>
  </si>
  <si>
    <t>Bevételek felülvizsgálata (önk. hitel, területalapú tám.)</t>
  </si>
  <si>
    <t>Segélyek felülvizsgálata</t>
  </si>
  <si>
    <t>Városüzemeltetési feladatok kiadásainak felülvizsgálata (síkosságmentesítés)</t>
  </si>
  <si>
    <t>ÉMOP járóbeteg pályázat támogatás pontosítása</t>
  </si>
  <si>
    <t>Normatíva visszafizetés, kamat (2012. évi beszámoló felülvizsgálata)</t>
  </si>
  <si>
    <t>Fejlesztési feladatok önrészére céltartalék városüzemeltetési feladatokról</t>
  </si>
  <si>
    <t>Civil szervezetek, alapítványok, sportegysületek támogatása felülvizsgálata</t>
  </si>
  <si>
    <t>Reprezentációs költségek áthelyezése dologi kiadásból személyi kiadásba</t>
  </si>
  <si>
    <t>PH kiadások felülvizsgálata</t>
  </si>
  <si>
    <t>HVÓBKI kiadások felülvizsgálata</t>
  </si>
  <si>
    <t>HKK kiadások felülvizsgálata</t>
  </si>
  <si>
    <t>HEVA Kft. sportcsarnok üzemeltetés felülvizsgálata, céltartalék</t>
  </si>
  <si>
    <t>Közfoglalkoztatás költségvetése 04.30-ig</t>
  </si>
  <si>
    <t>Rendszeres</t>
  </si>
  <si>
    <t>FHT</t>
  </si>
  <si>
    <t>Közgyógy</t>
  </si>
  <si>
    <t>Lakásfenn</t>
  </si>
  <si>
    <t>Önk. segély</t>
  </si>
  <si>
    <t>Az I. és a II. fordulós költségvetés közötti módosítás</t>
  </si>
  <si>
    <t>2011.</t>
  </si>
  <si>
    <t>2010.</t>
  </si>
  <si>
    <t>2012.</t>
  </si>
  <si>
    <t>ÁROP-1.A.5-2013 Szervezetfejlesztés a konvergencia régiókban levő önkormányzatok számára - Szakmai koncepció Heves Város Önkormányzat</t>
  </si>
  <si>
    <t>TIOP-1.2.3-11/1-2012-0165 Könyvtári informatika fejlesztése a Hevesi József Általános Tagiskola könyvtárában Hevesen</t>
  </si>
  <si>
    <t>TIOP-1.2.3-11/1-2012-0153 Informatikai fejlesztés Heves város Újtelepi Általános Tagiskola könyvtárában</t>
  </si>
  <si>
    <t>Összesen (1.+14.+17.+21.+32.)</t>
  </si>
  <si>
    <t>Közfoglalkoztatás eszközbezserzés</t>
  </si>
  <si>
    <t>Heves Városért Közalapítvány</t>
  </si>
  <si>
    <t>Földjeink az adóság rendezés keretében értékesítésre kerültek. A 2013. évi támogatást még idén megkapjuk.</t>
  </si>
  <si>
    <t xml:space="preserve">Önkormányzati segély </t>
  </si>
  <si>
    <t>bér</t>
  </si>
  <si>
    <t>dologi</t>
  </si>
  <si>
    <t>beruházás</t>
  </si>
  <si>
    <t>járulék</t>
  </si>
  <si>
    <t>A téli átmeneti közfoglalkoztatás költségei januártól áprilisig (100%-ban támogatott)</t>
  </si>
  <si>
    <t>A hagyományos közfoglalkoztatás 2014. évi önrészére betervezett összeg:</t>
  </si>
  <si>
    <t>Heves c. újság kiadásaira</t>
  </si>
  <si>
    <t>1. melléklet 4/2014. (II.26.) önkormányzati rendelethez</t>
  </si>
  <si>
    <t>1.1. melléklet 4/2014. (II.26.) önkormányzati rendelethez</t>
  </si>
  <si>
    <t>1.2. melléklet 4/2014. (II.26.) önkormányzati rendelethez</t>
  </si>
  <si>
    <t>6. melléklet a 4/2014. (II.26.) önkormányzati rendelethez</t>
  </si>
  <si>
    <t>5. melléklet  a 4/2014. (II.26.) önkormányzati rendelethez</t>
  </si>
  <si>
    <t>4. melléklet a 4/2014. (II.26.) önkormányzati rendelethez</t>
  </si>
  <si>
    <t>3. melléklet a 4/2014. (II.26.) önkormányzati rendelethez</t>
  </si>
  <si>
    <t>2.b. melléklet a 4/2014. (II.26.) önkormányzati rendelethez</t>
  </si>
  <si>
    <t>2.a. melléklet a 4/2014. (II.26.) önkormányzati rendelethez</t>
  </si>
  <si>
    <t>1.4. melléklet a 4/2014. (II.26.) önkormányzati rendelethez</t>
  </si>
  <si>
    <t>1.3. melléklet a 4/2014. (II.26.) önkormányzati rendelethez</t>
  </si>
  <si>
    <t>7. melléklet a 4/2014. (II.26.) önkormányzati rendelethez</t>
  </si>
  <si>
    <t>8. melléklet a 4/2014. (II.26.) önkormányzati rendelethez</t>
  </si>
  <si>
    <t>9. melléklet a 4/2014. (II.26.) önkormányzati rendelethez</t>
  </si>
  <si>
    <t>10. melléklet a 4/2014. (II.26.) önkormányzati rendelethez</t>
  </si>
  <si>
    <t>11. melléklet a 4/2014. (II.26.) önkormányzati rendelethez</t>
  </si>
  <si>
    <t>12. melléklet a 4/2014. (II.26.) önkormányzati rendelethez</t>
  </si>
  <si>
    <t>13. melléklet a 4/2014. (II.26.) önkormányzati rendelethez</t>
  </si>
  <si>
    <t>14. melléklet a 4/2014. (II.26.) önkormányzati rendelethez</t>
  </si>
  <si>
    <t>15. melléklet a 4/2014. (II.26.) önkormányzati rendelethez</t>
  </si>
  <si>
    <t>16. melléklet a 4/2014. (II.26.) önkormányzati rendelethez</t>
  </si>
  <si>
    <t>1. függelék a 4/2014. (II.26.) önkormányzati rendelethez</t>
  </si>
  <si>
    <t>2. függelék a 4/2014. (II.26.) önkormányzati rendelethez</t>
  </si>
</sst>
</file>

<file path=xl/styles.xml><?xml version="1.0" encoding="utf-8"?>
<styleSheet xmlns="http://schemas.openxmlformats.org/spreadsheetml/2006/main">
  <numFmts count="3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&quot;Ft&quot;;\-#,##0&quot;Ft&quot;"/>
    <numFmt numFmtId="165" formatCode="#,##0&quot;Ft&quot;;[Red]\-#,##0&quot;Ft&quot;"/>
    <numFmt numFmtId="166" formatCode="#,##0.00&quot;Ft&quot;;\-#,##0.00&quot;Ft&quot;"/>
    <numFmt numFmtId="167" formatCode="#,##0.00&quot;Ft&quot;;[Red]\-#,##0.00&quot;Ft&quot;"/>
    <numFmt numFmtId="168" formatCode="_-* #,##0&quot;Ft&quot;_-;\-* #,##0&quot;Ft&quot;_-;_-* &quot;-&quot;&quot;Ft&quot;_-;_-@_-"/>
    <numFmt numFmtId="169" formatCode="_-* #,##0_F_t_-;\-* #,##0_F_t_-;_-* &quot;-&quot;_F_t_-;_-@_-"/>
    <numFmt numFmtId="170" formatCode="_-* #,##0.00&quot;Ft&quot;_-;\-* #,##0.00&quot;Ft&quot;_-;_-* &quot;-&quot;??&quot;Ft&quot;_-;_-@_-"/>
    <numFmt numFmtId="171" formatCode="_-* #,##0.00_F_t_-;\-* #,##0.00_F_t_-;_-* &quot;-&quot;??_F_t_-;_-@_-"/>
    <numFmt numFmtId="172" formatCode="#,##0&quot; Ft&quot;;\-#,##0&quot; Ft&quot;"/>
    <numFmt numFmtId="173" formatCode="#,##0&quot; Ft&quot;;[Red]\-#,##0&quot; Ft&quot;"/>
    <numFmt numFmtId="174" formatCode="#,##0.00&quot; Ft&quot;;\-#,##0.00&quot; Ft&quot;"/>
    <numFmt numFmtId="175" formatCode="#,##0.00&quot; Ft&quot;;[Red]\-#,##0.00&quot; Ft&quot;"/>
    <numFmt numFmtId="176" formatCode="0__"/>
    <numFmt numFmtId="177" formatCode="&quot;Igen&quot;;&quot;Igen&quot;;&quot;Nem&quot;"/>
    <numFmt numFmtId="178" formatCode="&quot;Igaz&quot;;&quot;Igaz&quot;;&quot;Hamis&quot;"/>
    <numFmt numFmtId="179" formatCode="&quot;Be&quot;;&quot;Be&quot;;&quot;Ki&quot;"/>
    <numFmt numFmtId="180" formatCode="[$€-2]\ #\ ##,000_);[Red]\([$€-2]\ #\ ##,000\)"/>
    <numFmt numFmtId="181" formatCode="00"/>
    <numFmt numFmtId="182" formatCode="\ ##########"/>
    <numFmt numFmtId="183" formatCode="#,##0.0"/>
    <numFmt numFmtId="184" formatCode="0.0%"/>
    <numFmt numFmtId="185" formatCode="#,###"/>
    <numFmt numFmtId="186" formatCode="0.0"/>
    <numFmt numFmtId="187" formatCode="#,##0_ ;\-#,##0\ "/>
    <numFmt numFmtId="188" formatCode="#,##0&quot;.&quot;"/>
  </numFmts>
  <fonts count="8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"/>
      <family val="2"/>
    </font>
    <font>
      <b/>
      <i/>
      <sz val="12"/>
      <name val="Times New Roman CE"/>
      <family val="1"/>
    </font>
    <font>
      <sz val="12"/>
      <name val="Times New Roman CE"/>
      <family val="1"/>
    </font>
    <font>
      <b/>
      <sz val="10"/>
      <name val="Arial"/>
      <family val="2"/>
    </font>
    <font>
      <b/>
      <sz val="11"/>
      <name val="Times New Roman CE"/>
      <family val="1"/>
    </font>
    <font>
      <sz val="10"/>
      <name val="Times New Roman CE"/>
      <family val="1"/>
    </font>
    <font>
      <b/>
      <sz val="12"/>
      <name val="Times New Roman CE"/>
      <family val="1"/>
    </font>
    <font>
      <i/>
      <sz val="10"/>
      <name val="Arial"/>
      <family val="2"/>
    </font>
    <font>
      <b/>
      <sz val="13"/>
      <name val="Times New Roman CE"/>
      <family val="1"/>
    </font>
    <font>
      <sz val="10"/>
      <name val="MS Sans Serif"/>
      <family val="2"/>
    </font>
    <font>
      <sz val="8"/>
      <name val="Times New Roman CE"/>
      <family val="0"/>
    </font>
    <font>
      <b/>
      <i/>
      <sz val="9"/>
      <name val="Times New Roman CE"/>
      <family val="0"/>
    </font>
    <font>
      <b/>
      <sz val="9"/>
      <name val="Times New Roman CE"/>
      <family val="0"/>
    </font>
    <font>
      <sz val="9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9"/>
      <name val="Times New Roman CE"/>
      <family val="0"/>
    </font>
    <font>
      <vertAlign val="superscript"/>
      <sz val="9"/>
      <name val="Times New Roman CE"/>
      <family val="0"/>
    </font>
    <font>
      <b/>
      <vertAlign val="superscript"/>
      <sz val="9"/>
      <name val="Times New Roman CE"/>
      <family val="0"/>
    </font>
    <font>
      <sz val="9"/>
      <color indexed="10"/>
      <name val="Times New Roman"/>
      <family val="1"/>
    </font>
    <font>
      <sz val="11"/>
      <name val="Times New Roman CE"/>
      <family val="0"/>
    </font>
    <font>
      <b/>
      <sz val="10"/>
      <name val="Times New Roman CE"/>
      <family val="1"/>
    </font>
    <font>
      <b/>
      <sz val="8"/>
      <name val="Times New Roman CE"/>
      <family val="0"/>
    </font>
    <font>
      <b/>
      <i/>
      <sz val="10"/>
      <name val="Times New Roman CE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u val="single"/>
      <sz val="9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9"/>
      <name val="Arial CE"/>
      <family val="0"/>
    </font>
    <font>
      <u val="single"/>
      <sz val="9"/>
      <name val="Times New Roman"/>
      <family val="1"/>
    </font>
    <font>
      <sz val="9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 CE"/>
      <family val="0"/>
    </font>
    <font>
      <b/>
      <sz val="8"/>
      <name val="Arial CE"/>
      <family val="0"/>
    </font>
    <font>
      <i/>
      <sz val="8"/>
      <name val="Arial CE"/>
      <family val="0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0"/>
      <color indexed="8"/>
      <name val="Times New Roman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b/>
      <i/>
      <sz val="9"/>
      <color indexed="40"/>
      <name val="Times New Roman CE"/>
      <family val="0"/>
    </font>
    <font>
      <i/>
      <sz val="9"/>
      <color indexed="40"/>
      <name val="Times New Roman CE"/>
      <family val="0"/>
    </font>
    <font>
      <sz val="9"/>
      <color indexed="40"/>
      <name val="Times New Roman CE"/>
      <family val="0"/>
    </font>
    <font>
      <b/>
      <sz val="9"/>
      <color indexed="4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sz val="10"/>
      <color theme="1"/>
      <name val="Times New Roman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i/>
      <sz val="9"/>
      <color rgb="FF00B0F0"/>
      <name val="Times New Roman CE"/>
      <family val="0"/>
    </font>
    <font>
      <i/>
      <sz val="9"/>
      <color rgb="FF00B0F0"/>
      <name val="Times New Roman CE"/>
      <family val="0"/>
    </font>
    <font>
      <sz val="9"/>
      <color rgb="FF00B0F0"/>
      <name val="Times New Roman CE"/>
      <family val="0"/>
    </font>
    <font>
      <b/>
      <sz val="9"/>
      <color rgb="FF00B0F0"/>
      <name val="Times New Roman CE"/>
      <family val="0"/>
    </font>
  </fonts>
  <fills count="2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1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</borders>
  <cellStyleXfs count="10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4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7" borderId="0" applyNumberFormat="0" applyBorder="0" applyAlignment="0" applyProtection="0"/>
    <xf numFmtId="0" fontId="71" fillId="4" borderId="0" applyNumberFormat="0" applyBorder="0" applyAlignment="0" applyProtection="0"/>
    <xf numFmtId="0" fontId="72" fillId="7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0" borderId="0" applyNumberFormat="0" applyBorder="0" applyAlignment="0" applyProtection="0"/>
    <xf numFmtId="0" fontId="72" fillId="7" borderId="0" applyNumberFormat="0" applyBorder="0" applyAlignment="0" applyProtection="0"/>
    <xf numFmtId="0" fontId="72" fillId="3" borderId="0" applyNumberFormat="0" applyBorder="0" applyAlignment="0" applyProtection="0"/>
    <xf numFmtId="0" fontId="73" fillId="9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74" fillId="13" borderId="5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0" fillId="14" borderId="7" applyNumberFormat="0" applyFont="0" applyAlignment="0" applyProtection="0"/>
    <xf numFmtId="0" fontId="72" fillId="15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7" fillId="7" borderId="0" applyNumberFormat="0" applyBorder="0" applyAlignment="0" applyProtection="0"/>
    <xf numFmtId="0" fontId="78" fillId="19" borderId="8" applyNumberFormat="0" applyAlignment="0" applyProtection="0"/>
    <xf numFmtId="3" fontId="6" fillId="0" borderId="0">
      <alignment vertical="center"/>
      <protection/>
    </xf>
    <xf numFmtId="0" fontId="7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>
      <alignment/>
      <protection/>
    </xf>
    <xf numFmtId="0" fontId="9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4" fillId="0" borderId="0">
      <alignment/>
      <protection/>
    </xf>
    <xf numFmtId="0" fontId="80" fillId="0" borderId="0">
      <alignment/>
      <protection/>
    </xf>
    <xf numFmtId="0" fontId="4" fillId="0" borderId="0">
      <alignment/>
      <protection/>
    </xf>
    <xf numFmtId="0" fontId="81" fillId="0" borderId="0">
      <alignment/>
      <protection/>
    </xf>
    <xf numFmtId="3" fontId="6" fillId="0" borderId="0">
      <alignment vertical="center"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3" fontId="6" fillId="0" borderId="0">
      <alignment vertical="center"/>
      <protection/>
    </xf>
    <xf numFmtId="0" fontId="82" fillId="0" borderId="9" applyNumberFormat="0" applyFill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83" fillId="20" borderId="0" applyNumberFormat="0" applyBorder="0" applyAlignment="0" applyProtection="0"/>
    <xf numFmtId="0" fontId="65" fillId="21" borderId="0" applyNumberFormat="0" applyBorder="0" applyAlignment="0" applyProtection="0"/>
    <xf numFmtId="0" fontId="6" fillId="0" borderId="0">
      <alignment vertical="center"/>
      <protection/>
    </xf>
    <xf numFmtId="0" fontId="66" fillId="19" borderId="1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28">
    <xf numFmtId="0" fontId="0" fillId="0" borderId="0" xfId="0" applyAlignment="1">
      <alignment/>
    </xf>
    <xf numFmtId="0" fontId="4" fillId="0" borderId="0" xfId="62">
      <alignment/>
      <protection/>
    </xf>
    <xf numFmtId="0" fontId="5" fillId="0" borderId="10" xfId="62" applyFont="1" applyFill="1" applyBorder="1" applyAlignment="1">
      <alignment vertical="center" wrapText="1"/>
      <protection/>
    </xf>
    <xf numFmtId="0" fontId="6" fillId="0" borderId="10" xfId="62" applyFont="1" applyBorder="1" applyAlignment="1">
      <alignment vertical="center" wrapText="1"/>
      <protection/>
    </xf>
    <xf numFmtId="0" fontId="6" fillId="0" borderId="10" xfId="62" applyFont="1" applyFill="1" applyBorder="1" applyAlignment="1">
      <alignment vertical="center" wrapText="1"/>
      <protection/>
    </xf>
    <xf numFmtId="0" fontId="6" fillId="0" borderId="10" xfId="62" applyFont="1" applyBorder="1">
      <alignment/>
      <protection/>
    </xf>
    <xf numFmtId="0" fontId="7" fillId="0" borderId="0" xfId="62" applyFont="1" applyBorder="1" applyAlignment="1">
      <alignment horizontal="center" vertical="center" wrapText="1"/>
      <protection/>
    </xf>
    <xf numFmtId="0" fontId="8" fillId="0" borderId="10" xfId="62" applyFont="1" applyBorder="1" applyAlignment="1">
      <alignment horizontal="center" vertical="center" wrapText="1"/>
      <protection/>
    </xf>
    <xf numFmtId="183" fontId="5" fillId="0" borderId="0" xfId="62" applyNumberFormat="1" applyFont="1" applyBorder="1" applyAlignment="1">
      <alignment vertical="center"/>
      <protection/>
    </xf>
    <xf numFmtId="0" fontId="5" fillId="0" borderId="0" xfId="62" applyFont="1" applyBorder="1" applyAlignment="1">
      <alignment horizontal="left" vertical="center" wrapText="1"/>
      <protection/>
    </xf>
    <xf numFmtId="183" fontId="5" fillId="0" borderId="11" xfId="62" applyNumberFormat="1" applyFont="1" applyBorder="1" applyAlignment="1">
      <alignment vertical="center"/>
      <protection/>
    </xf>
    <xf numFmtId="183" fontId="5" fillId="0" borderId="12" xfId="62" applyNumberFormat="1" applyFont="1" applyBorder="1" applyAlignment="1">
      <alignment vertical="center"/>
      <protection/>
    </xf>
    <xf numFmtId="0" fontId="5" fillId="0" borderId="13" xfId="62" applyFont="1" applyBorder="1" applyAlignment="1">
      <alignment horizontal="left" vertical="center" wrapText="1"/>
      <protection/>
    </xf>
    <xf numFmtId="183" fontId="9" fillId="0" borderId="14" xfId="62" applyNumberFormat="1" applyFont="1" applyBorder="1" applyAlignment="1">
      <alignment vertical="center"/>
      <protection/>
    </xf>
    <xf numFmtId="183" fontId="9" fillId="0" borderId="15" xfId="62" applyNumberFormat="1" applyFont="1" applyBorder="1" applyAlignment="1">
      <alignment vertical="center"/>
      <protection/>
    </xf>
    <xf numFmtId="183" fontId="9" fillId="0" borderId="10" xfId="62" applyNumberFormat="1" applyFont="1" applyBorder="1" applyAlignment="1">
      <alignment vertical="center"/>
      <protection/>
    </xf>
    <xf numFmtId="183" fontId="9" fillId="0" borderId="16" xfId="62" applyNumberFormat="1" applyFont="1" applyBorder="1" applyAlignment="1">
      <alignment vertical="center"/>
      <protection/>
    </xf>
    <xf numFmtId="0" fontId="6" fillId="0" borderId="17" xfId="62" applyFont="1" applyBorder="1" applyAlignment="1">
      <alignment vertical="center" wrapText="1"/>
      <protection/>
    </xf>
    <xf numFmtId="183" fontId="9" fillId="0" borderId="10" xfId="62" applyNumberFormat="1" applyFont="1" applyBorder="1" applyAlignment="1">
      <alignment/>
      <protection/>
    </xf>
    <xf numFmtId="0" fontId="6" fillId="0" borderId="17" xfId="62" applyFont="1" applyBorder="1" applyAlignment="1">
      <alignment horizontal="left" vertical="center" wrapText="1"/>
      <protection/>
    </xf>
    <xf numFmtId="0" fontId="6" fillId="0" borderId="18" xfId="62" applyFont="1" applyBorder="1" applyAlignment="1">
      <alignment horizontal="left" vertical="center" wrapText="1"/>
      <protection/>
    </xf>
    <xf numFmtId="0" fontId="6" fillId="0" borderId="19" xfId="62" applyFont="1" applyBorder="1" applyAlignment="1">
      <alignment horizontal="center" vertical="center" wrapText="1"/>
      <protection/>
    </xf>
    <xf numFmtId="0" fontId="11" fillId="0" borderId="0" xfId="62" applyFont="1" applyAlignment="1">
      <alignment horizontal="right"/>
      <protection/>
    </xf>
    <xf numFmtId="0" fontId="9" fillId="0" borderId="0" xfId="62" applyFont="1">
      <alignment/>
      <protection/>
    </xf>
    <xf numFmtId="3" fontId="6" fillId="0" borderId="0" xfId="83" applyNumberFormat="1" applyFont="1" applyFill="1">
      <alignment/>
      <protection/>
    </xf>
    <xf numFmtId="3" fontId="14" fillId="0" borderId="0" xfId="83" applyNumberFormat="1" applyFont="1" applyFill="1">
      <alignment/>
      <protection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center"/>
    </xf>
    <xf numFmtId="3" fontId="20" fillId="0" borderId="0" xfId="0" applyNumberFormat="1" applyFont="1" applyAlignment="1">
      <alignment/>
    </xf>
    <xf numFmtId="3" fontId="21" fillId="0" borderId="0" xfId="0" applyNumberFormat="1" applyFont="1" applyAlignment="1">
      <alignment/>
    </xf>
    <xf numFmtId="3" fontId="20" fillId="0" borderId="20" xfId="0" applyNumberFormat="1" applyFont="1" applyBorder="1" applyAlignment="1">
      <alignment horizontal="center" vertical="center" wrapText="1"/>
    </xf>
    <xf numFmtId="3" fontId="20" fillId="0" borderId="21" xfId="0" applyNumberFormat="1" applyFont="1" applyBorder="1" applyAlignment="1">
      <alignment horizontal="center" vertical="center" wrapText="1"/>
    </xf>
    <xf numFmtId="3" fontId="20" fillId="0" borderId="22" xfId="0" applyNumberFormat="1" applyFont="1" applyBorder="1" applyAlignment="1">
      <alignment horizontal="center" vertical="center" wrapText="1"/>
    </xf>
    <xf numFmtId="3" fontId="20" fillId="0" borderId="23" xfId="0" applyNumberFormat="1" applyFont="1" applyBorder="1" applyAlignment="1">
      <alignment horizontal="center" vertical="center" wrapText="1"/>
    </xf>
    <xf numFmtId="3" fontId="20" fillId="0" borderId="0" xfId="0" applyNumberFormat="1" applyFont="1" applyAlignment="1">
      <alignment horizontal="center" vertical="center"/>
    </xf>
    <xf numFmtId="3" fontId="20" fillId="0" borderId="22" xfId="0" applyNumberFormat="1" applyFont="1" applyBorder="1" applyAlignment="1">
      <alignment horizontal="center"/>
    </xf>
    <xf numFmtId="3" fontId="20" fillId="0" borderId="16" xfId="0" applyNumberFormat="1" applyFont="1" applyBorder="1" applyAlignment="1">
      <alignment/>
    </xf>
    <xf numFmtId="3" fontId="21" fillId="0" borderId="16" xfId="0" applyNumberFormat="1" applyFont="1" applyBorder="1" applyAlignment="1">
      <alignment/>
    </xf>
    <xf numFmtId="3" fontId="21" fillId="0" borderId="10" xfId="0" applyNumberFormat="1" applyFont="1" applyBorder="1" applyAlignment="1">
      <alignment/>
    </xf>
    <xf numFmtId="3" fontId="22" fillId="0" borderId="10" xfId="0" applyNumberFormat="1" applyFont="1" applyBorder="1" applyAlignment="1">
      <alignment/>
    </xf>
    <xf numFmtId="3" fontId="22" fillId="0" borderId="0" xfId="0" applyNumberFormat="1" applyFont="1" applyAlignment="1">
      <alignment/>
    </xf>
    <xf numFmtId="3" fontId="20" fillId="0" borderId="14" xfId="0" applyNumberFormat="1" applyFont="1" applyBorder="1" applyAlignment="1">
      <alignment/>
    </xf>
    <xf numFmtId="3" fontId="22" fillId="0" borderId="24" xfId="0" applyNumberFormat="1" applyFont="1" applyBorder="1" applyAlignment="1">
      <alignment/>
    </xf>
    <xf numFmtId="3" fontId="21" fillId="0" borderId="24" xfId="0" applyNumberFormat="1" applyFont="1" applyBorder="1" applyAlignment="1">
      <alignment/>
    </xf>
    <xf numFmtId="3" fontId="21" fillId="0" borderId="12" xfId="0" applyNumberFormat="1" applyFont="1" applyBorder="1" applyAlignment="1">
      <alignment/>
    </xf>
    <xf numFmtId="3" fontId="20" fillId="0" borderId="25" xfId="0" applyNumberFormat="1" applyFont="1" applyBorder="1" applyAlignment="1">
      <alignment/>
    </xf>
    <xf numFmtId="3" fontId="22" fillId="0" borderId="26" xfId="0" applyNumberFormat="1" applyFont="1" applyBorder="1" applyAlignment="1">
      <alignment/>
    </xf>
    <xf numFmtId="3" fontId="21" fillId="0" borderId="26" xfId="0" applyNumberFormat="1" applyFont="1" applyBorder="1" applyAlignment="1">
      <alignment/>
    </xf>
    <xf numFmtId="3" fontId="21" fillId="0" borderId="27" xfId="0" applyNumberFormat="1" applyFont="1" applyBorder="1" applyAlignment="1">
      <alignment/>
    </xf>
    <xf numFmtId="3" fontId="21" fillId="0" borderId="28" xfId="0" applyNumberFormat="1" applyFont="1" applyBorder="1" applyAlignment="1">
      <alignment/>
    </xf>
    <xf numFmtId="3" fontId="22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3" fontId="20" fillId="0" borderId="34" xfId="0" applyNumberFormat="1" applyFont="1" applyBorder="1" applyAlignment="1">
      <alignment/>
    </xf>
    <xf numFmtId="3" fontId="20" fillId="0" borderId="35" xfId="0" applyNumberFormat="1" applyFont="1" applyBorder="1" applyAlignment="1">
      <alignment/>
    </xf>
    <xf numFmtId="3" fontId="20" fillId="0" borderId="36" xfId="0" applyNumberFormat="1" applyFont="1" applyBorder="1" applyAlignment="1">
      <alignment/>
    </xf>
    <xf numFmtId="3" fontId="20" fillId="0" borderId="21" xfId="0" applyNumberFormat="1" applyFont="1" applyBorder="1" applyAlignment="1">
      <alignment/>
    </xf>
    <xf numFmtId="3" fontId="20" fillId="0" borderId="22" xfId="0" applyNumberFormat="1" applyFont="1" applyBorder="1" applyAlignment="1">
      <alignment/>
    </xf>
    <xf numFmtId="3" fontId="20" fillId="0" borderId="23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0" fillId="0" borderId="0" xfId="0" applyNumberFormat="1" applyFont="1" applyBorder="1" applyAlignment="1">
      <alignment/>
    </xf>
    <xf numFmtId="3" fontId="20" fillId="0" borderId="38" xfId="0" applyNumberFormat="1" applyFont="1" applyBorder="1" applyAlignment="1">
      <alignment/>
    </xf>
    <xf numFmtId="3" fontId="20" fillId="0" borderId="39" xfId="0" applyNumberFormat="1" applyFont="1" applyBorder="1" applyAlignment="1">
      <alignment/>
    </xf>
    <xf numFmtId="3" fontId="20" fillId="0" borderId="40" xfId="0" applyNumberFormat="1" applyFont="1" applyBorder="1" applyAlignment="1">
      <alignment/>
    </xf>
    <xf numFmtId="3" fontId="21" fillId="0" borderId="25" xfId="0" applyNumberFormat="1" applyFont="1" applyBorder="1" applyAlignment="1">
      <alignment/>
    </xf>
    <xf numFmtId="3" fontId="21" fillId="0" borderId="14" xfId="0" applyNumberFormat="1" applyFont="1" applyBorder="1" applyAlignment="1">
      <alignment/>
    </xf>
    <xf numFmtId="3" fontId="20" fillId="0" borderId="41" xfId="0" applyNumberFormat="1" applyFont="1" applyBorder="1" applyAlignment="1">
      <alignment/>
    </xf>
    <xf numFmtId="3" fontId="20" fillId="0" borderId="42" xfId="0" applyNumberFormat="1" applyFont="1" applyBorder="1" applyAlignment="1">
      <alignment/>
    </xf>
    <xf numFmtId="3" fontId="20" fillId="0" borderId="43" xfId="0" applyNumberFormat="1" applyFont="1" applyBorder="1" applyAlignment="1">
      <alignment/>
    </xf>
    <xf numFmtId="3" fontId="23" fillId="0" borderId="0" xfId="0" applyNumberFormat="1" applyFont="1" applyAlignment="1">
      <alignment/>
    </xf>
    <xf numFmtId="3" fontId="23" fillId="0" borderId="0" xfId="0" applyNumberFormat="1" applyFont="1" applyAlignment="1">
      <alignment horizontal="right"/>
    </xf>
    <xf numFmtId="3" fontId="23" fillId="0" borderId="0" xfId="0" applyNumberFormat="1" applyFont="1" applyAlignment="1">
      <alignment horizontal="left"/>
    </xf>
    <xf numFmtId="3" fontId="20" fillId="0" borderId="42" xfId="0" applyNumberFormat="1" applyFont="1" applyBorder="1" applyAlignment="1">
      <alignment horizontal="center" vertical="center" wrapText="1"/>
    </xf>
    <xf numFmtId="3" fontId="21" fillId="0" borderId="11" xfId="0" applyNumberFormat="1" applyFont="1" applyBorder="1" applyAlignment="1">
      <alignment/>
    </xf>
    <xf numFmtId="3" fontId="21" fillId="0" borderId="44" xfId="0" applyNumberFormat="1" applyFont="1" applyBorder="1" applyAlignment="1">
      <alignment/>
    </xf>
    <xf numFmtId="3" fontId="22" fillId="0" borderId="12" xfId="0" applyNumberFormat="1" applyFont="1" applyBorder="1" applyAlignment="1">
      <alignment/>
    </xf>
    <xf numFmtId="3" fontId="22" fillId="0" borderId="11" xfId="0" applyNumberFormat="1" applyFont="1" applyBorder="1" applyAlignment="1">
      <alignment/>
    </xf>
    <xf numFmtId="3" fontId="22" fillId="0" borderId="32" xfId="0" applyNumberFormat="1" applyFont="1" applyBorder="1" applyAlignment="1">
      <alignment/>
    </xf>
    <xf numFmtId="3" fontId="22" fillId="0" borderId="33" xfId="0" applyNumberFormat="1" applyFont="1" applyBorder="1" applyAlignment="1">
      <alignment/>
    </xf>
    <xf numFmtId="3" fontId="22" fillId="0" borderId="31" xfId="0" applyNumberFormat="1" applyFont="1" applyBorder="1" applyAlignment="1">
      <alignment/>
    </xf>
    <xf numFmtId="3" fontId="22" fillId="0" borderId="44" xfId="0" applyNumberFormat="1" applyFont="1" applyBorder="1" applyAlignment="1">
      <alignment/>
    </xf>
    <xf numFmtId="3" fontId="22" fillId="0" borderId="30" xfId="0" applyNumberFormat="1" applyFont="1" applyBorder="1" applyAlignment="1">
      <alignment/>
    </xf>
    <xf numFmtId="3" fontId="22" fillId="0" borderId="29" xfId="0" applyNumberFormat="1" applyFont="1" applyBorder="1" applyAlignment="1">
      <alignment/>
    </xf>
    <xf numFmtId="3" fontId="21" fillId="0" borderId="45" xfId="0" applyNumberFormat="1" applyFont="1" applyBorder="1" applyAlignment="1">
      <alignment/>
    </xf>
    <xf numFmtId="3" fontId="21" fillId="0" borderId="46" xfId="0" applyNumberFormat="1" applyFont="1" applyBorder="1" applyAlignment="1">
      <alignment/>
    </xf>
    <xf numFmtId="3" fontId="21" fillId="0" borderId="47" xfId="0" applyNumberFormat="1" applyFont="1" applyBorder="1" applyAlignment="1">
      <alignment/>
    </xf>
    <xf numFmtId="3" fontId="24" fillId="0" borderId="0" xfId="0" applyNumberFormat="1" applyFont="1" applyAlignment="1">
      <alignment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/>
    </xf>
    <xf numFmtId="3" fontId="20" fillId="0" borderId="0" xfId="0" applyNumberFormat="1" applyFont="1" applyBorder="1" applyAlignment="1">
      <alignment horizontal="center"/>
    </xf>
    <xf numFmtId="183" fontId="20" fillId="0" borderId="27" xfId="0" applyNumberFormat="1" applyFont="1" applyBorder="1" applyAlignment="1">
      <alignment/>
    </xf>
    <xf numFmtId="183" fontId="20" fillId="0" borderId="47" xfId="0" applyNumberFormat="1" applyFont="1" applyBorder="1" applyAlignment="1">
      <alignment/>
    </xf>
    <xf numFmtId="183" fontId="20" fillId="0" borderId="45" xfId="0" applyNumberFormat="1" applyFont="1" applyBorder="1" applyAlignment="1">
      <alignment/>
    </xf>
    <xf numFmtId="183" fontId="20" fillId="0" borderId="46" xfId="0" applyNumberFormat="1" applyFont="1" applyBorder="1" applyAlignment="1">
      <alignment/>
    </xf>
    <xf numFmtId="183" fontId="20" fillId="0" borderId="30" xfId="0" applyNumberFormat="1" applyFont="1" applyBorder="1" applyAlignment="1">
      <alignment/>
    </xf>
    <xf numFmtId="183" fontId="20" fillId="0" borderId="31" xfId="0" applyNumberFormat="1" applyFont="1" applyBorder="1" applyAlignment="1">
      <alignment/>
    </xf>
    <xf numFmtId="183" fontId="20" fillId="0" borderId="32" xfId="0" applyNumberFormat="1" applyFont="1" applyBorder="1" applyAlignment="1">
      <alignment/>
    </xf>
    <xf numFmtId="183" fontId="20" fillId="0" borderId="33" xfId="0" applyNumberFormat="1" applyFont="1" applyBorder="1" applyAlignment="1">
      <alignment/>
    </xf>
    <xf numFmtId="183" fontId="20" fillId="0" borderId="42" xfId="0" applyNumberFormat="1" applyFont="1" applyBorder="1" applyAlignment="1">
      <alignment/>
    </xf>
    <xf numFmtId="183" fontId="20" fillId="0" borderId="21" xfId="0" applyNumberFormat="1" applyFont="1" applyBorder="1" applyAlignment="1">
      <alignment/>
    </xf>
    <xf numFmtId="183" fontId="20" fillId="0" borderId="22" xfId="0" applyNumberFormat="1" applyFont="1" applyBorder="1" applyAlignment="1">
      <alignment/>
    </xf>
    <xf numFmtId="183" fontId="20" fillId="0" borderId="23" xfId="0" applyNumberFormat="1" applyFont="1" applyBorder="1" applyAlignment="1">
      <alignment/>
    </xf>
    <xf numFmtId="49" fontId="22" fillId="0" borderId="48" xfId="0" applyNumberFormat="1" applyFont="1" applyBorder="1" applyAlignment="1">
      <alignment horizontal="left" indent="2"/>
    </xf>
    <xf numFmtId="49" fontId="20" fillId="0" borderId="0" xfId="0" applyNumberFormat="1" applyFont="1" applyBorder="1" applyAlignment="1">
      <alignment/>
    </xf>
    <xf numFmtId="49" fontId="20" fillId="0" borderId="49" xfId="0" applyNumberFormat="1" applyFont="1" applyBorder="1" applyAlignment="1">
      <alignment horizontal="left" indent="1"/>
    </xf>
    <xf numFmtId="49" fontId="21" fillId="0" borderId="50" xfId="0" applyNumberFormat="1" applyFont="1" applyBorder="1" applyAlignment="1">
      <alignment horizontal="left" indent="2"/>
    </xf>
    <xf numFmtId="49" fontId="22" fillId="0" borderId="51" xfId="0" applyNumberFormat="1" applyFont="1" applyBorder="1" applyAlignment="1">
      <alignment horizontal="left" indent="3"/>
    </xf>
    <xf numFmtId="49" fontId="21" fillId="0" borderId="51" xfId="0" applyNumberFormat="1" applyFont="1" applyBorder="1" applyAlignment="1">
      <alignment horizontal="left" indent="2"/>
    </xf>
    <xf numFmtId="49" fontId="21" fillId="0" borderId="48" xfId="0" applyNumberFormat="1" applyFont="1" applyBorder="1" applyAlignment="1">
      <alignment horizontal="left" indent="2"/>
    </xf>
    <xf numFmtId="49" fontId="20" fillId="0" borderId="49" xfId="0" applyNumberFormat="1" applyFont="1" applyBorder="1" applyAlignment="1">
      <alignment/>
    </xf>
    <xf numFmtId="49" fontId="20" fillId="0" borderId="49" xfId="0" applyNumberFormat="1" applyFont="1" applyBorder="1" applyAlignment="1">
      <alignment horizontal="left"/>
    </xf>
    <xf numFmtId="49" fontId="20" fillId="0" borderId="52" xfId="0" applyNumberFormat="1" applyFont="1" applyBorder="1" applyAlignment="1">
      <alignment/>
    </xf>
    <xf numFmtId="49" fontId="21" fillId="0" borderId="50" xfId="0" applyNumberFormat="1" applyFont="1" applyBorder="1" applyAlignment="1">
      <alignment/>
    </xf>
    <xf numFmtId="49" fontId="21" fillId="0" borderId="53" xfId="0" applyNumberFormat="1" applyFont="1" applyBorder="1" applyAlignment="1">
      <alignment/>
    </xf>
    <xf numFmtId="49" fontId="22" fillId="0" borderId="48" xfId="0" applyNumberFormat="1" applyFont="1" applyBorder="1" applyAlignment="1">
      <alignment horizontal="left" indent="3"/>
    </xf>
    <xf numFmtId="49" fontId="22" fillId="0" borderId="53" xfId="0" applyNumberFormat="1" applyFont="1" applyBorder="1" applyAlignment="1">
      <alignment horizontal="left" indent="3"/>
    </xf>
    <xf numFmtId="49" fontId="20" fillId="0" borderId="54" xfId="0" applyNumberFormat="1" applyFont="1" applyBorder="1" applyAlignment="1">
      <alignment/>
    </xf>
    <xf numFmtId="49" fontId="20" fillId="0" borderId="48" xfId="0" applyNumberFormat="1" applyFont="1" applyBorder="1" applyAlignment="1">
      <alignment/>
    </xf>
    <xf numFmtId="49" fontId="21" fillId="0" borderId="30" xfId="0" applyNumberFormat="1" applyFont="1" applyBorder="1" applyAlignment="1">
      <alignment horizontal="center"/>
    </xf>
    <xf numFmtId="49" fontId="20" fillId="0" borderId="42" xfId="0" applyNumberFormat="1" applyFont="1" applyBorder="1" applyAlignment="1">
      <alignment horizontal="center" vertical="center" wrapText="1"/>
    </xf>
    <xf numFmtId="49" fontId="20" fillId="0" borderId="49" xfId="0" applyNumberFormat="1" applyFont="1" applyBorder="1" applyAlignment="1">
      <alignment horizontal="center" vertical="center"/>
    </xf>
    <xf numFmtId="49" fontId="20" fillId="0" borderId="41" xfId="0" applyNumberFormat="1" applyFont="1" applyBorder="1" applyAlignment="1">
      <alignment horizontal="center"/>
    </xf>
    <xf numFmtId="49" fontId="20" fillId="0" borderId="55" xfId="0" applyNumberFormat="1" applyFont="1" applyBorder="1" applyAlignment="1">
      <alignment horizontal="center"/>
    </xf>
    <xf numFmtId="49" fontId="20" fillId="0" borderId="42" xfId="0" applyNumberFormat="1" applyFont="1" applyBorder="1" applyAlignment="1">
      <alignment horizontal="center"/>
    </xf>
    <xf numFmtId="49" fontId="21" fillId="0" borderId="37" xfId="0" applyNumberFormat="1" applyFont="1" applyBorder="1" applyAlignment="1">
      <alignment horizontal="center"/>
    </xf>
    <xf numFmtId="49" fontId="21" fillId="0" borderId="28" xfId="0" applyNumberFormat="1" applyFont="1" applyBorder="1" applyAlignment="1">
      <alignment horizontal="center"/>
    </xf>
    <xf numFmtId="49" fontId="22" fillId="0" borderId="28" xfId="0" applyNumberFormat="1" applyFont="1" applyBorder="1" applyAlignment="1">
      <alignment horizontal="center"/>
    </xf>
    <xf numFmtId="49" fontId="20" fillId="0" borderId="43" xfId="0" applyNumberFormat="1" applyFont="1" applyBorder="1" applyAlignment="1">
      <alignment horizontal="center"/>
    </xf>
    <xf numFmtId="49" fontId="21" fillId="0" borderId="29" xfId="0" applyNumberFormat="1" applyFont="1" applyBorder="1" applyAlignment="1">
      <alignment horizontal="center"/>
    </xf>
    <xf numFmtId="49" fontId="22" fillId="0" borderId="30" xfId="0" applyNumberFormat="1" applyFont="1" applyBorder="1" applyAlignment="1">
      <alignment horizontal="center"/>
    </xf>
    <xf numFmtId="49" fontId="22" fillId="0" borderId="29" xfId="0" applyNumberFormat="1" applyFont="1" applyBorder="1" applyAlignment="1">
      <alignment horizontal="center"/>
    </xf>
    <xf numFmtId="49" fontId="20" fillId="0" borderId="27" xfId="0" applyNumberFormat="1" applyFont="1" applyBorder="1" applyAlignment="1">
      <alignment horizontal="center"/>
    </xf>
    <xf numFmtId="49" fontId="20" fillId="0" borderId="30" xfId="0" applyNumberFormat="1" applyFont="1" applyBorder="1" applyAlignment="1">
      <alignment horizontal="center"/>
    </xf>
    <xf numFmtId="49" fontId="20" fillId="0" borderId="20" xfId="0" applyNumberFormat="1" applyFont="1" applyBorder="1" applyAlignment="1">
      <alignment horizontal="center" vertical="center"/>
    </xf>
    <xf numFmtId="49" fontId="20" fillId="0" borderId="20" xfId="0" applyNumberFormat="1" applyFont="1" applyBorder="1" applyAlignment="1">
      <alignment horizontal="center"/>
    </xf>
    <xf numFmtId="49" fontId="20" fillId="0" borderId="56" xfId="0" applyNumberFormat="1" applyFont="1" applyBorder="1" applyAlignment="1">
      <alignment horizontal="center"/>
    </xf>
    <xf numFmtId="49" fontId="23" fillId="0" borderId="27" xfId="0" applyNumberFormat="1" applyFont="1" applyBorder="1" applyAlignment="1">
      <alignment horizontal="center"/>
    </xf>
    <xf numFmtId="49" fontId="23" fillId="0" borderId="54" xfId="0" applyNumberFormat="1" applyFont="1" applyBorder="1" applyAlignment="1">
      <alignment horizontal="left" indent="1"/>
    </xf>
    <xf numFmtId="3" fontId="23" fillId="0" borderId="27" xfId="0" applyNumberFormat="1" applyFont="1" applyBorder="1" applyAlignment="1">
      <alignment/>
    </xf>
    <xf numFmtId="3" fontId="23" fillId="0" borderId="47" xfId="0" applyNumberFormat="1" applyFont="1" applyBorder="1" applyAlignment="1">
      <alignment/>
    </xf>
    <xf numFmtId="3" fontId="23" fillId="0" borderId="45" xfId="0" applyNumberFormat="1" applyFont="1" applyBorder="1" applyAlignment="1">
      <alignment/>
    </xf>
    <xf numFmtId="3" fontId="23" fillId="0" borderId="46" xfId="0" applyNumberFormat="1" applyFont="1" applyBorder="1" applyAlignment="1">
      <alignment/>
    </xf>
    <xf numFmtId="49" fontId="22" fillId="0" borderId="48" xfId="0" applyNumberFormat="1" applyFont="1" applyBorder="1" applyAlignment="1">
      <alignment horizontal="left"/>
    </xf>
    <xf numFmtId="183" fontId="22" fillId="0" borderId="30" xfId="0" applyNumberFormat="1" applyFont="1" applyBorder="1" applyAlignment="1">
      <alignment/>
    </xf>
    <xf numFmtId="183" fontId="22" fillId="0" borderId="31" xfId="0" applyNumberFormat="1" applyFont="1" applyBorder="1" applyAlignment="1">
      <alignment/>
    </xf>
    <xf numFmtId="183" fontId="22" fillId="0" borderId="32" xfId="0" applyNumberFormat="1" applyFont="1" applyBorder="1" applyAlignment="1">
      <alignment/>
    </xf>
    <xf numFmtId="183" fontId="22" fillId="0" borderId="33" xfId="0" applyNumberFormat="1" applyFont="1" applyBorder="1" applyAlignment="1">
      <alignment/>
    </xf>
    <xf numFmtId="49" fontId="22" fillId="5" borderId="28" xfId="0" applyNumberFormat="1" applyFont="1" applyFill="1" applyBorder="1" applyAlignment="1">
      <alignment horizontal="center"/>
    </xf>
    <xf numFmtId="49" fontId="22" fillId="5" borderId="51" xfId="0" applyNumberFormat="1" applyFont="1" applyFill="1" applyBorder="1" applyAlignment="1">
      <alignment horizontal="left" indent="3"/>
    </xf>
    <xf numFmtId="3" fontId="22" fillId="5" borderId="28" xfId="0" applyNumberFormat="1" applyFont="1" applyFill="1" applyBorder="1" applyAlignment="1">
      <alignment/>
    </xf>
    <xf numFmtId="3" fontId="22" fillId="5" borderId="26" xfId="0" applyNumberFormat="1" applyFont="1" applyFill="1" applyBorder="1" applyAlignment="1">
      <alignment/>
    </xf>
    <xf numFmtId="3" fontId="22" fillId="5" borderId="10" xfId="0" applyNumberFormat="1" applyFont="1" applyFill="1" applyBorder="1" applyAlignment="1">
      <alignment/>
    </xf>
    <xf numFmtId="3" fontId="22" fillId="5" borderId="24" xfId="0" applyNumberFormat="1" applyFont="1" applyFill="1" applyBorder="1" applyAlignment="1">
      <alignment/>
    </xf>
    <xf numFmtId="49" fontId="22" fillId="0" borderId="28" xfId="0" applyNumberFormat="1" applyFont="1" applyFill="1" applyBorder="1" applyAlignment="1">
      <alignment horizontal="center"/>
    </xf>
    <xf numFmtId="49" fontId="22" fillId="0" borderId="51" xfId="0" applyNumberFormat="1" applyFont="1" applyFill="1" applyBorder="1" applyAlignment="1">
      <alignment horizontal="left" indent="3"/>
    </xf>
    <xf numFmtId="3" fontId="21" fillId="0" borderId="28" xfId="0" applyNumberFormat="1" applyFont="1" applyFill="1" applyBorder="1" applyAlignment="1">
      <alignment/>
    </xf>
    <xf numFmtId="49" fontId="20" fillId="0" borderId="42" xfId="0" applyNumberFormat="1" applyFont="1" applyFill="1" applyBorder="1" applyAlignment="1">
      <alignment horizontal="center"/>
    </xf>
    <xf numFmtId="49" fontId="20" fillId="0" borderId="49" xfId="0" applyNumberFormat="1" applyFont="1" applyFill="1" applyBorder="1" applyAlignment="1">
      <alignment horizontal="left"/>
    </xf>
    <xf numFmtId="3" fontId="20" fillId="0" borderId="42" xfId="0" applyNumberFormat="1" applyFont="1" applyFill="1" applyBorder="1" applyAlignment="1">
      <alignment/>
    </xf>
    <xf numFmtId="3" fontId="20" fillId="0" borderId="21" xfId="0" applyNumberFormat="1" applyFont="1" applyFill="1" applyBorder="1" applyAlignment="1">
      <alignment/>
    </xf>
    <xf numFmtId="3" fontId="20" fillId="0" borderId="22" xfId="0" applyNumberFormat="1" applyFont="1" applyFill="1" applyBorder="1" applyAlignment="1">
      <alignment/>
    </xf>
    <xf numFmtId="3" fontId="20" fillId="0" borderId="23" xfId="0" applyNumberFormat="1" applyFont="1" applyFill="1" applyBorder="1" applyAlignment="1">
      <alignment/>
    </xf>
    <xf numFmtId="49" fontId="20" fillId="0" borderId="49" xfId="0" applyNumberFormat="1" applyFont="1" applyFill="1" applyBorder="1" applyAlignment="1">
      <alignment horizontal="left" indent="1"/>
    </xf>
    <xf numFmtId="49" fontId="20" fillId="0" borderId="49" xfId="0" applyNumberFormat="1" applyFont="1" applyFill="1" applyBorder="1" applyAlignment="1">
      <alignment/>
    </xf>
    <xf numFmtId="3" fontId="22" fillId="0" borderId="28" xfId="0" applyNumberFormat="1" applyFont="1" applyFill="1" applyBorder="1" applyAlignment="1">
      <alignment/>
    </xf>
    <xf numFmtId="49" fontId="21" fillId="0" borderId="37" xfId="0" applyNumberFormat="1" applyFont="1" applyFill="1" applyBorder="1" applyAlignment="1">
      <alignment horizontal="center"/>
    </xf>
    <xf numFmtId="49" fontId="21" fillId="0" borderId="50" xfId="0" applyNumberFormat="1" applyFont="1" applyFill="1" applyBorder="1" applyAlignment="1">
      <alignment horizontal="left" indent="2"/>
    </xf>
    <xf numFmtId="3" fontId="21" fillId="0" borderId="37" xfId="0" applyNumberFormat="1" applyFont="1" applyFill="1" applyBorder="1" applyAlignment="1">
      <alignment/>
    </xf>
    <xf numFmtId="3" fontId="21" fillId="0" borderId="25" xfId="0" applyNumberFormat="1" applyFont="1" applyFill="1" applyBorder="1" applyAlignment="1">
      <alignment/>
    </xf>
    <xf numFmtId="3" fontId="21" fillId="0" borderId="16" xfId="0" applyNumberFormat="1" applyFont="1" applyFill="1" applyBorder="1" applyAlignment="1">
      <alignment/>
    </xf>
    <xf numFmtId="3" fontId="21" fillId="0" borderId="14" xfId="0" applyNumberFormat="1" applyFont="1" applyFill="1" applyBorder="1" applyAlignment="1">
      <alignment/>
    </xf>
    <xf numFmtId="3" fontId="22" fillId="0" borderId="0" xfId="0" applyNumberFormat="1" applyFont="1" applyFill="1" applyAlignment="1">
      <alignment/>
    </xf>
    <xf numFmtId="49" fontId="21" fillId="0" borderId="28" xfId="0" applyNumberFormat="1" applyFont="1" applyFill="1" applyBorder="1" applyAlignment="1">
      <alignment horizontal="center"/>
    </xf>
    <xf numFmtId="49" fontId="21" fillId="0" borderId="51" xfId="0" applyNumberFormat="1" applyFont="1" applyFill="1" applyBorder="1" applyAlignment="1">
      <alignment horizontal="left" indent="2"/>
    </xf>
    <xf numFmtId="3" fontId="21" fillId="0" borderId="0" xfId="0" applyNumberFormat="1" applyFont="1" applyFill="1" applyAlignment="1">
      <alignment/>
    </xf>
    <xf numFmtId="49" fontId="21" fillId="0" borderId="30" xfId="0" applyNumberFormat="1" applyFont="1" applyFill="1" applyBorder="1" applyAlignment="1">
      <alignment horizontal="center"/>
    </xf>
    <xf numFmtId="49" fontId="21" fillId="0" borderId="48" xfId="0" applyNumberFormat="1" applyFont="1" applyFill="1" applyBorder="1" applyAlignment="1">
      <alignment horizontal="left" indent="2"/>
    </xf>
    <xf numFmtId="3" fontId="21" fillId="0" borderId="30" xfId="0" applyNumberFormat="1" applyFont="1" applyFill="1" applyBorder="1" applyAlignment="1">
      <alignment/>
    </xf>
    <xf numFmtId="3" fontId="20" fillId="0" borderId="0" xfId="0" applyNumberFormat="1" applyFont="1" applyFill="1" applyAlignment="1">
      <alignment/>
    </xf>
    <xf numFmtId="49" fontId="21" fillId="0" borderId="54" xfId="0" applyNumberFormat="1" applyFont="1" applyBorder="1" applyAlignment="1">
      <alignment horizontal="left" indent="1"/>
    </xf>
    <xf numFmtId="49" fontId="20" fillId="0" borderId="57" xfId="0" applyNumberFormat="1" applyFont="1" applyBorder="1" applyAlignment="1">
      <alignment/>
    </xf>
    <xf numFmtId="49" fontId="22" fillId="0" borderId="51" xfId="0" applyNumberFormat="1" applyFont="1" applyBorder="1" applyAlignment="1">
      <alignment horizontal="left" indent="2"/>
    </xf>
    <xf numFmtId="49" fontId="22" fillId="0" borderId="51" xfId="0" applyNumberFormat="1" applyFont="1" applyBorder="1" applyAlignment="1">
      <alignment horizontal="left" indent="1"/>
    </xf>
    <xf numFmtId="49" fontId="22" fillId="0" borderId="53" xfId="0" applyNumberFormat="1" applyFont="1" applyBorder="1" applyAlignment="1">
      <alignment horizontal="left" indent="1"/>
    </xf>
    <xf numFmtId="49" fontId="21" fillId="0" borderId="27" xfId="0" applyNumberFormat="1" applyFont="1" applyBorder="1" applyAlignment="1">
      <alignment horizontal="center"/>
    </xf>
    <xf numFmtId="49" fontId="21" fillId="0" borderId="58" xfId="0" applyNumberFormat="1" applyFont="1" applyBorder="1" applyAlignment="1">
      <alignment horizontal="left" indent="1"/>
    </xf>
    <xf numFmtId="49" fontId="21" fillId="0" borderId="51" xfId="0" applyNumberFormat="1" applyFont="1" applyBorder="1" applyAlignment="1">
      <alignment horizontal="left" indent="1"/>
    </xf>
    <xf numFmtId="49" fontId="21" fillId="0" borderId="59" xfId="0" applyNumberFormat="1" applyFont="1" applyBorder="1" applyAlignment="1">
      <alignment horizontal="left" indent="1"/>
    </xf>
    <xf numFmtId="49" fontId="20" fillId="0" borderId="23" xfId="0" applyNumberFormat="1" applyFont="1" applyBorder="1" applyAlignment="1">
      <alignment horizontal="center" vertical="center" wrapText="1"/>
    </xf>
    <xf numFmtId="49" fontId="20" fillId="0" borderId="22" xfId="0" applyNumberFormat="1" applyFont="1" applyBorder="1" applyAlignment="1">
      <alignment horizontal="center" vertical="center" wrapText="1"/>
    </xf>
    <xf numFmtId="49" fontId="20" fillId="0" borderId="21" xfId="0" applyNumberFormat="1" applyFont="1" applyBorder="1" applyAlignment="1">
      <alignment horizontal="center" vertical="center" wrapText="1"/>
    </xf>
    <xf numFmtId="49" fontId="20" fillId="0" borderId="20" xfId="0" applyNumberFormat="1" applyFont="1" applyBorder="1" applyAlignment="1">
      <alignment horizontal="center" vertical="center" wrapText="1"/>
    </xf>
    <xf numFmtId="3" fontId="20" fillId="0" borderId="57" xfId="0" applyNumberFormat="1" applyFont="1" applyBorder="1" applyAlignment="1">
      <alignment/>
    </xf>
    <xf numFmtId="3" fontId="20" fillId="0" borderId="60" xfId="0" applyNumberFormat="1" applyFont="1" applyBorder="1" applyAlignment="1">
      <alignment/>
    </xf>
    <xf numFmtId="3" fontId="20" fillId="0" borderId="61" xfId="0" applyNumberFormat="1" applyFont="1" applyBorder="1" applyAlignment="1">
      <alignment/>
    </xf>
    <xf numFmtId="3" fontId="20" fillId="0" borderId="62" xfId="0" applyNumberFormat="1" applyFont="1" applyBorder="1" applyAlignment="1">
      <alignment/>
    </xf>
    <xf numFmtId="49" fontId="20" fillId="0" borderId="55" xfId="0" applyNumberFormat="1" applyFont="1" applyBorder="1" applyAlignment="1">
      <alignment/>
    </xf>
    <xf numFmtId="49" fontId="22" fillId="0" borderId="51" xfId="0" applyNumberFormat="1" applyFont="1" applyBorder="1" applyAlignment="1">
      <alignment horizontal="left" wrapText="1" indent="1"/>
    </xf>
    <xf numFmtId="49" fontId="22" fillId="0" borderId="63" xfId="0" applyNumberFormat="1" applyFont="1" applyBorder="1" applyAlignment="1">
      <alignment horizontal="left" wrapText="1" indent="1"/>
    </xf>
    <xf numFmtId="49" fontId="22" fillId="0" borderId="59" xfId="0" applyNumberFormat="1" applyFont="1" applyBorder="1" applyAlignment="1">
      <alignment horizontal="left" wrapText="1" indent="1"/>
    </xf>
    <xf numFmtId="3" fontId="20" fillId="0" borderId="23" xfId="0" applyNumberFormat="1" applyFont="1" applyBorder="1" applyAlignment="1">
      <alignment horizontal="right"/>
    </xf>
    <xf numFmtId="3" fontId="20" fillId="0" borderId="22" xfId="0" applyNumberFormat="1" applyFont="1" applyBorder="1" applyAlignment="1">
      <alignment horizontal="right"/>
    </xf>
    <xf numFmtId="3" fontId="20" fillId="0" borderId="21" xfId="0" applyNumberFormat="1" applyFont="1" applyBorder="1" applyAlignment="1">
      <alignment horizontal="right"/>
    </xf>
    <xf numFmtId="3" fontId="20" fillId="0" borderId="42" xfId="0" applyNumberFormat="1" applyFont="1" applyBorder="1" applyAlignment="1">
      <alignment horizontal="right"/>
    </xf>
    <xf numFmtId="0" fontId="6" fillId="0" borderId="0" xfId="63" applyFont="1">
      <alignment/>
      <protection/>
    </xf>
    <xf numFmtId="0" fontId="17" fillId="0" borderId="0" xfId="63" applyFont="1">
      <alignment/>
      <protection/>
    </xf>
    <xf numFmtId="183" fontId="17" fillId="0" borderId="64" xfId="63" applyNumberFormat="1" applyFont="1" applyFill="1" applyBorder="1" applyAlignment="1">
      <alignment horizontal="center" vertical="center" wrapText="1"/>
      <protection/>
    </xf>
    <xf numFmtId="183" fontId="16" fillId="0" borderId="10" xfId="63" applyNumberFormat="1" applyFont="1" applyFill="1" applyBorder="1" applyAlignment="1">
      <alignment/>
      <protection/>
    </xf>
    <xf numFmtId="183" fontId="16" fillId="0" borderId="39" xfId="63" applyNumberFormat="1" applyFont="1" applyFill="1" applyBorder="1" applyAlignment="1">
      <alignment/>
      <protection/>
    </xf>
    <xf numFmtId="183" fontId="16" fillId="0" borderId="64" xfId="63" applyNumberFormat="1" applyFont="1" applyFill="1" applyBorder="1" applyAlignment="1">
      <alignment/>
      <protection/>
    </xf>
    <xf numFmtId="183" fontId="16" fillId="0" borderId="65" xfId="63" applyNumberFormat="1" applyFont="1" applyFill="1" applyBorder="1" applyAlignment="1">
      <alignment/>
      <protection/>
    </xf>
    <xf numFmtId="0" fontId="16" fillId="0" borderId="57" xfId="63" applyFont="1" applyFill="1" applyBorder="1" applyAlignment="1">
      <alignment horizontal="left"/>
      <protection/>
    </xf>
    <xf numFmtId="4" fontId="17" fillId="0" borderId="64" xfId="63" applyNumberFormat="1" applyFont="1" applyFill="1" applyBorder="1" applyAlignment="1">
      <alignment horizontal="center" vertical="center" wrapText="1"/>
      <protection/>
    </xf>
    <xf numFmtId="0" fontId="17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183" fontId="16" fillId="0" borderId="61" xfId="63" applyNumberFormat="1" applyFont="1" applyFill="1" applyBorder="1" applyAlignment="1">
      <alignment horizontal="center" vertical="center" wrapText="1"/>
      <protection/>
    </xf>
    <xf numFmtId="3" fontId="16" fillId="0" borderId="65" xfId="63" applyNumberFormat="1" applyFont="1" applyFill="1" applyBorder="1" applyAlignment="1">
      <alignment/>
      <protection/>
    </xf>
    <xf numFmtId="3" fontId="6" fillId="0" borderId="0" xfId="83" applyNumberFormat="1" applyFont="1" applyFill="1" applyAlignment="1">
      <alignment horizontal="right"/>
      <protection/>
    </xf>
    <xf numFmtId="3" fontId="6" fillId="0" borderId="0" xfId="63" applyNumberFormat="1" applyFont="1" applyFill="1">
      <alignment/>
      <protection/>
    </xf>
    <xf numFmtId="3" fontId="10" fillId="0" borderId="0" xfId="63" applyNumberFormat="1" applyFont="1" applyFill="1">
      <alignment/>
      <protection/>
    </xf>
    <xf numFmtId="3" fontId="16" fillId="0" borderId="66" xfId="63" applyNumberFormat="1" applyFont="1" applyFill="1" applyBorder="1" applyAlignment="1">
      <alignment vertical="center"/>
      <protection/>
    </xf>
    <xf numFmtId="3" fontId="16" fillId="0" borderId="0" xfId="63" applyNumberFormat="1" applyFont="1" applyFill="1" applyBorder="1" applyAlignment="1">
      <alignment vertical="center"/>
      <protection/>
    </xf>
    <xf numFmtId="3" fontId="10" fillId="0" borderId="0" xfId="63" applyNumberFormat="1" applyFont="1" applyFill="1" applyBorder="1" applyAlignment="1">
      <alignment vertical="center"/>
      <protection/>
    </xf>
    <xf numFmtId="3" fontId="16" fillId="0" borderId="57" xfId="63" applyNumberFormat="1" applyFont="1" applyFill="1" applyBorder="1" applyAlignment="1">
      <alignment/>
      <protection/>
    </xf>
    <xf numFmtId="0" fontId="24" fillId="0" borderId="0" xfId="0" applyFont="1" applyAlignment="1">
      <alignment/>
    </xf>
    <xf numFmtId="3" fontId="16" fillId="0" borderId="0" xfId="63" applyNumberFormat="1" applyFont="1" applyFill="1">
      <alignment/>
      <protection/>
    </xf>
    <xf numFmtId="3" fontId="17" fillId="0" borderId="0" xfId="63" applyNumberFormat="1" applyFont="1" applyFill="1">
      <alignment/>
      <protection/>
    </xf>
    <xf numFmtId="0" fontId="16" fillId="0" borderId="0" xfId="63" applyFont="1">
      <alignment/>
      <protection/>
    </xf>
    <xf numFmtId="3" fontId="16" fillId="0" borderId="42" xfId="83" applyNumberFormat="1" applyFont="1" applyFill="1" applyBorder="1" applyAlignment="1" applyProtection="1">
      <alignment horizontal="center" vertical="center" wrapText="1"/>
      <protection/>
    </xf>
    <xf numFmtId="3" fontId="17" fillId="0" borderId="67" xfId="63" applyNumberFormat="1" applyFont="1" applyFill="1" applyBorder="1" applyAlignment="1">
      <alignment vertical="center"/>
      <protection/>
    </xf>
    <xf numFmtId="3" fontId="17" fillId="0" borderId="54" xfId="63" applyNumberFormat="1" applyFont="1" applyFill="1" applyBorder="1" applyAlignment="1">
      <alignment vertical="center"/>
      <protection/>
    </xf>
    <xf numFmtId="3" fontId="17" fillId="0" borderId="27" xfId="63" applyNumberFormat="1" applyFont="1" applyFill="1" applyBorder="1" applyAlignment="1" applyProtection="1">
      <alignment vertical="center"/>
      <protection locked="0"/>
    </xf>
    <xf numFmtId="3" fontId="17" fillId="0" borderId="47" xfId="63" applyNumberFormat="1" applyFont="1" applyFill="1" applyBorder="1" applyAlignment="1" applyProtection="1">
      <alignment vertical="center"/>
      <protection locked="0"/>
    </xf>
    <xf numFmtId="3" fontId="17" fillId="0" borderId="64" xfId="63" applyNumberFormat="1" applyFont="1" applyFill="1" applyBorder="1" applyAlignment="1" applyProtection="1">
      <alignment vertical="center"/>
      <protection locked="0"/>
    </xf>
    <xf numFmtId="3" fontId="16" fillId="0" borderId="27" xfId="63" applyNumberFormat="1" applyFont="1" applyFill="1" applyBorder="1" applyAlignment="1">
      <alignment vertical="center"/>
      <protection/>
    </xf>
    <xf numFmtId="3" fontId="26" fillId="0" borderId="17" xfId="63" applyNumberFormat="1" applyFont="1" applyFill="1" applyBorder="1" applyAlignment="1" quotePrefix="1">
      <alignment horizontal="left" vertical="center" indent="1"/>
      <protection/>
    </xf>
    <xf numFmtId="3" fontId="26" fillId="0" borderId="51" xfId="63" applyNumberFormat="1" applyFont="1" applyFill="1" applyBorder="1" applyAlignment="1" quotePrefix="1">
      <alignment horizontal="left" vertical="center" indent="1"/>
      <protection/>
    </xf>
    <xf numFmtId="3" fontId="26" fillId="0" borderId="28" xfId="63" applyNumberFormat="1" applyFont="1" applyFill="1" applyBorder="1" applyAlignment="1" applyProtection="1">
      <alignment vertical="center"/>
      <protection locked="0"/>
    </xf>
    <xf numFmtId="3" fontId="26" fillId="0" borderId="26" xfId="63" applyNumberFormat="1" applyFont="1" applyFill="1" applyBorder="1" applyAlignment="1" applyProtection="1">
      <alignment vertical="center"/>
      <protection locked="0"/>
    </xf>
    <xf numFmtId="3" fontId="26" fillId="0" borderId="65" xfId="63" applyNumberFormat="1" applyFont="1" applyFill="1" applyBorder="1" applyAlignment="1" applyProtection="1">
      <alignment vertical="center"/>
      <protection locked="0"/>
    </xf>
    <xf numFmtId="3" fontId="15" fillId="0" borderId="28" xfId="63" applyNumberFormat="1" applyFont="1" applyFill="1" applyBorder="1" applyAlignment="1">
      <alignment vertical="center"/>
      <protection/>
    </xf>
    <xf numFmtId="3" fontId="17" fillId="0" borderId="17" xfId="63" applyNumberFormat="1" applyFont="1" applyFill="1" applyBorder="1" applyAlignment="1">
      <alignment vertical="center"/>
      <protection/>
    </xf>
    <xf numFmtId="3" fontId="17" fillId="0" borderId="51" xfId="63" applyNumberFormat="1" applyFont="1" applyFill="1" applyBorder="1" applyAlignment="1">
      <alignment vertical="center"/>
      <protection/>
    </xf>
    <xf numFmtId="3" fontId="17" fillId="0" borderId="28" xfId="63" applyNumberFormat="1" applyFont="1" applyFill="1" applyBorder="1" applyAlignment="1" applyProtection="1">
      <alignment vertical="center"/>
      <protection locked="0"/>
    </xf>
    <xf numFmtId="3" fontId="17" fillId="0" borderId="26" xfId="63" applyNumberFormat="1" applyFont="1" applyFill="1" applyBorder="1" applyAlignment="1" applyProtection="1">
      <alignment vertical="center"/>
      <protection locked="0"/>
    </xf>
    <xf numFmtId="3" fontId="17" fillId="0" borderId="65" xfId="63" applyNumberFormat="1" applyFont="1" applyFill="1" applyBorder="1" applyAlignment="1" applyProtection="1">
      <alignment vertical="center"/>
      <protection locked="0"/>
    </xf>
    <xf numFmtId="3" fontId="16" fillId="0" borderId="28" xfId="63" applyNumberFormat="1" applyFont="1" applyFill="1" applyBorder="1" applyAlignment="1">
      <alignment vertical="center"/>
      <protection/>
    </xf>
    <xf numFmtId="3" fontId="16" fillId="0" borderId="68" xfId="63" applyNumberFormat="1" applyFont="1" applyFill="1" applyBorder="1" applyAlignment="1">
      <alignment vertical="center"/>
      <protection/>
    </xf>
    <xf numFmtId="3" fontId="16" fillId="0" borderId="42" xfId="63" applyNumberFormat="1" applyFont="1" applyFill="1" applyBorder="1" applyAlignment="1">
      <alignment vertical="center"/>
      <protection/>
    </xf>
    <xf numFmtId="3" fontId="16" fillId="0" borderId="21" xfId="63" applyNumberFormat="1" applyFont="1" applyFill="1" applyBorder="1" applyAlignment="1">
      <alignment vertical="center"/>
      <protection/>
    </xf>
    <xf numFmtId="3" fontId="17" fillId="0" borderId="0" xfId="63" applyNumberFormat="1" applyFont="1" applyFill="1" applyAlignment="1">
      <alignment vertical="center"/>
      <protection/>
    </xf>
    <xf numFmtId="3" fontId="17" fillId="0" borderId="17" xfId="63" applyNumberFormat="1" applyFont="1" applyFill="1" applyBorder="1" applyAlignment="1">
      <alignment horizontal="left" vertical="center"/>
      <protection/>
    </xf>
    <xf numFmtId="3" fontId="17" fillId="0" borderId="17" xfId="63" applyNumberFormat="1" applyFont="1" applyFill="1" applyBorder="1" applyAlignment="1" applyProtection="1">
      <alignment vertical="center"/>
      <protection locked="0"/>
    </xf>
    <xf numFmtId="3" fontId="17" fillId="0" borderId="51" xfId="63" applyNumberFormat="1" applyFont="1" applyFill="1" applyBorder="1" applyAlignment="1" applyProtection="1">
      <alignment vertical="center"/>
      <protection locked="0"/>
    </xf>
    <xf numFmtId="3" fontId="17" fillId="0" borderId="69" xfId="63" applyNumberFormat="1" applyFont="1" applyFill="1" applyBorder="1" applyAlignment="1" applyProtection="1">
      <alignment vertical="center"/>
      <protection locked="0"/>
    </xf>
    <xf numFmtId="3" fontId="17" fillId="0" borderId="48" xfId="63" applyNumberFormat="1" applyFont="1" applyFill="1" applyBorder="1" applyAlignment="1" applyProtection="1">
      <alignment vertical="center"/>
      <protection locked="0"/>
    </xf>
    <xf numFmtId="3" fontId="17" fillId="0" borderId="30" xfId="63" applyNumberFormat="1" applyFont="1" applyFill="1" applyBorder="1" applyAlignment="1" applyProtection="1">
      <alignment vertical="center"/>
      <protection locked="0"/>
    </xf>
    <xf numFmtId="3" fontId="17" fillId="0" borderId="31" xfId="63" applyNumberFormat="1" applyFont="1" applyFill="1" applyBorder="1" applyAlignment="1" applyProtection="1">
      <alignment vertical="center"/>
      <protection locked="0"/>
    </xf>
    <xf numFmtId="3" fontId="17" fillId="0" borderId="70" xfId="63" applyNumberFormat="1" applyFont="1" applyFill="1" applyBorder="1" applyAlignment="1" applyProtection="1">
      <alignment vertical="center"/>
      <protection locked="0"/>
    </xf>
    <xf numFmtId="3" fontId="16" fillId="0" borderId="58" xfId="63" applyNumberFormat="1" applyFont="1" applyFill="1" applyBorder="1" applyAlignment="1">
      <alignment/>
      <protection/>
    </xf>
    <xf numFmtId="3" fontId="16" fillId="0" borderId="46" xfId="63" applyNumberFormat="1" applyFont="1" applyFill="1" applyBorder="1" applyAlignment="1">
      <alignment vertical="center"/>
      <protection/>
    </xf>
    <xf numFmtId="3" fontId="16" fillId="0" borderId="58" xfId="63" applyNumberFormat="1" applyFont="1" applyFill="1" applyBorder="1" applyAlignment="1">
      <alignment vertical="center"/>
      <protection/>
    </xf>
    <xf numFmtId="3" fontId="16" fillId="0" borderId="67" xfId="63" applyNumberFormat="1" applyFont="1" applyFill="1" applyBorder="1" applyAlignment="1">
      <alignment vertical="center"/>
      <protection/>
    </xf>
    <xf numFmtId="3" fontId="16" fillId="0" borderId="45" xfId="63" applyNumberFormat="1" applyFont="1" applyFill="1" applyBorder="1" applyAlignment="1">
      <alignment vertical="center"/>
      <protection/>
    </xf>
    <xf numFmtId="3" fontId="16" fillId="0" borderId="64" xfId="63" applyNumberFormat="1" applyFont="1" applyFill="1" applyBorder="1" applyAlignment="1">
      <alignment vertical="center"/>
      <protection/>
    </xf>
    <xf numFmtId="3" fontId="16" fillId="0" borderId="59" xfId="63" applyNumberFormat="1" applyFont="1" applyFill="1" applyBorder="1" applyAlignment="1" applyProtection="1">
      <alignment/>
      <protection locked="0"/>
    </xf>
    <xf numFmtId="3" fontId="16" fillId="0" borderId="24" xfId="63" applyNumberFormat="1" applyFont="1" applyFill="1" applyBorder="1" applyAlignment="1" applyProtection="1">
      <alignment/>
      <protection locked="0"/>
    </xf>
    <xf numFmtId="3" fontId="16" fillId="0" borderId="17" xfId="63" applyNumberFormat="1" applyFont="1" applyFill="1" applyBorder="1" applyAlignment="1" applyProtection="1">
      <alignment/>
      <protection locked="0"/>
    </xf>
    <xf numFmtId="3" fontId="16" fillId="0" borderId="10" xfId="63" applyNumberFormat="1" applyFont="1" applyFill="1" applyBorder="1" applyAlignment="1" applyProtection="1">
      <alignment/>
      <protection locked="0"/>
    </xf>
    <xf numFmtId="3" fontId="16" fillId="0" borderId="28" xfId="63" applyNumberFormat="1" applyFont="1" applyFill="1" applyBorder="1" applyAlignment="1">
      <alignment/>
      <protection/>
    </xf>
    <xf numFmtId="3" fontId="17" fillId="0" borderId="59" xfId="63" applyNumberFormat="1" applyFont="1" applyFill="1" applyBorder="1" applyAlignment="1" applyProtection="1">
      <alignment horizontal="left" wrapText="1" indent="1"/>
      <protection locked="0"/>
    </xf>
    <xf numFmtId="3" fontId="17" fillId="0" borderId="24" xfId="63" applyNumberFormat="1" applyFont="1" applyFill="1" applyBorder="1" applyAlignment="1" applyProtection="1">
      <alignment/>
      <protection locked="0"/>
    </xf>
    <xf numFmtId="3" fontId="17" fillId="0" borderId="59" xfId="63" applyNumberFormat="1" applyFont="1" applyFill="1" applyBorder="1" applyAlignment="1" applyProtection="1">
      <alignment/>
      <protection locked="0"/>
    </xf>
    <xf numFmtId="3" fontId="17" fillId="0" borderId="17" xfId="63" applyNumberFormat="1" applyFont="1" applyFill="1" applyBorder="1" applyAlignment="1" applyProtection="1">
      <alignment/>
      <protection locked="0"/>
    </xf>
    <xf numFmtId="3" fontId="17" fillId="0" borderId="10" xfId="63" applyNumberFormat="1" applyFont="1" applyFill="1" applyBorder="1" applyAlignment="1" applyProtection="1">
      <alignment/>
      <protection locked="0"/>
    </xf>
    <xf numFmtId="3" fontId="17" fillId="0" borderId="65" xfId="63" applyNumberFormat="1" applyFont="1" applyFill="1" applyBorder="1" applyAlignment="1">
      <alignment/>
      <protection/>
    </xf>
    <xf numFmtId="3" fontId="17" fillId="0" borderId="28" xfId="63" applyNumberFormat="1" applyFont="1" applyFill="1" applyBorder="1" applyAlignment="1">
      <alignment/>
      <protection/>
    </xf>
    <xf numFmtId="3" fontId="16" fillId="0" borderId="23" xfId="63" applyNumberFormat="1" applyFont="1" applyFill="1" applyBorder="1" applyAlignment="1">
      <alignment/>
      <protection/>
    </xf>
    <xf numFmtId="3" fontId="16" fillId="0" borderId="66" xfId="63" applyNumberFormat="1" applyFont="1" applyFill="1" applyBorder="1" applyAlignment="1">
      <alignment/>
      <protection/>
    </xf>
    <xf numFmtId="3" fontId="16" fillId="0" borderId="22" xfId="63" applyNumberFormat="1" applyFont="1" applyFill="1" applyBorder="1" applyAlignment="1">
      <alignment/>
      <protection/>
    </xf>
    <xf numFmtId="3" fontId="16" fillId="0" borderId="68" xfId="63" applyNumberFormat="1" applyFont="1" applyFill="1" applyBorder="1" applyAlignment="1">
      <alignment/>
      <protection/>
    </xf>
    <xf numFmtId="3" fontId="16" fillId="0" borderId="42" xfId="63" applyNumberFormat="1" applyFont="1" applyFill="1" applyBorder="1" applyAlignment="1">
      <alignment/>
      <protection/>
    </xf>
    <xf numFmtId="3" fontId="15" fillId="0" borderId="52" xfId="63" applyNumberFormat="1" applyFont="1" applyFill="1" applyBorder="1" applyAlignment="1">
      <alignment horizontal="right"/>
      <protection/>
    </xf>
    <xf numFmtId="0" fontId="17" fillId="0" borderId="39" xfId="63" applyFont="1" applyBorder="1" applyAlignment="1">
      <alignment horizontal="center" vertical="center" wrapText="1"/>
      <protection/>
    </xf>
    <xf numFmtId="0" fontId="17" fillId="0" borderId="71" xfId="63" applyFont="1" applyBorder="1" applyAlignment="1">
      <alignment horizontal="center" wrapText="1"/>
      <protection/>
    </xf>
    <xf numFmtId="0" fontId="17" fillId="0" borderId="72" xfId="63" applyFont="1" applyBorder="1" applyAlignment="1">
      <alignment horizontal="center" wrapText="1"/>
      <protection/>
    </xf>
    <xf numFmtId="0" fontId="17" fillId="0" borderId="73" xfId="63" applyFont="1" applyBorder="1" applyAlignment="1">
      <alignment horizontal="center" vertical="center"/>
      <protection/>
    </xf>
    <xf numFmtId="0" fontId="17" fillId="0" borderId="39" xfId="63" applyFont="1" applyBorder="1" applyAlignment="1">
      <alignment horizontal="center" vertical="center"/>
      <protection/>
    </xf>
    <xf numFmtId="0" fontId="17" fillId="0" borderId="38" xfId="63" applyFont="1" applyBorder="1" applyAlignment="1">
      <alignment horizontal="center" vertical="center" wrapText="1"/>
      <protection/>
    </xf>
    <xf numFmtId="3" fontId="15" fillId="0" borderId="0" xfId="63" applyNumberFormat="1" applyFont="1" applyFill="1" applyAlignment="1">
      <alignment horizontal="right"/>
      <protection/>
    </xf>
    <xf numFmtId="0" fontId="17" fillId="0" borderId="74" xfId="63" applyFont="1" applyBorder="1" applyAlignment="1">
      <alignment horizontal="center" wrapText="1"/>
      <protection/>
    </xf>
    <xf numFmtId="0" fontId="17" fillId="0" borderId="75" xfId="63" applyFont="1" applyBorder="1" applyAlignment="1">
      <alignment horizontal="center" wrapText="1"/>
      <protection/>
    </xf>
    <xf numFmtId="0" fontId="17" fillId="0" borderId="76" xfId="63" applyFont="1" applyBorder="1" applyAlignment="1">
      <alignment horizontal="center" wrapText="1"/>
      <protection/>
    </xf>
    <xf numFmtId="0" fontId="16" fillId="0" borderId="42" xfId="63" applyFont="1" applyBorder="1" applyAlignment="1">
      <alignment horizontal="center" wrapText="1"/>
      <protection/>
    </xf>
    <xf numFmtId="0" fontId="17" fillId="0" borderId="77" xfId="63" applyFont="1" applyBorder="1" applyAlignment="1">
      <alignment wrapText="1"/>
      <protection/>
    </xf>
    <xf numFmtId="3" fontId="17" fillId="0" borderId="78" xfId="63" applyNumberFormat="1" applyFont="1" applyBorder="1" applyAlignment="1">
      <alignment wrapText="1"/>
      <protection/>
    </xf>
    <xf numFmtId="3" fontId="17" fillId="0" borderId="79" xfId="63" applyNumberFormat="1" applyFont="1" applyBorder="1" applyAlignment="1">
      <alignment wrapText="1"/>
      <protection/>
    </xf>
    <xf numFmtId="3" fontId="16" fillId="0" borderId="80" xfId="63" applyNumberFormat="1" applyFont="1" applyBorder="1" applyAlignment="1">
      <alignment wrapText="1"/>
      <protection/>
    </xf>
    <xf numFmtId="0" fontId="17" fillId="0" borderId="81" xfId="63" applyFont="1" applyBorder="1" applyAlignment="1">
      <alignment wrapText="1"/>
      <protection/>
    </xf>
    <xf numFmtId="3" fontId="17" fillId="0" borderId="82" xfId="63" applyNumberFormat="1" applyFont="1" applyBorder="1" applyAlignment="1">
      <alignment wrapText="1"/>
      <protection/>
    </xf>
    <xf numFmtId="3" fontId="17" fillId="0" borderId="83" xfId="63" applyNumberFormat="1" applyFont="1" applyBorder="1" applyAlignment="1">
      <alignment wrapText="1"/>
      <protection/>
    </xf>
    <xf numFmtId="3" fontId="16" fillId="0" borderId="84" xfId="63" applyNumberFormat="1" applyFont="1" applyBorder="1" applyAlignment="1">
      <alignment wrapText="1"/>
      <protection/>
    </xf>
    <xf numFmtId="0" fontId="17" fillId="0" borderId="85" xfId="63" applyFont="1" applyFill="1" applyBorder="1" applyAlignment="1">
      <alignment wrapText="1"/>
      <protection/>
    </xf>
    <xf numFmtId="3" fontId="17" fillId="0" borderId="86" xfId="63" applyNumberFormat="1" applyFont="1" applyBorder="1" applyAlignment="1">
      <alignment wrapText="1"/>
      <protection/>
    </xf>
    <xf numFmtId="3" fontId="17" fillId="0" borderId="87" xfId="63" applyNumberFormat="1" applyFont="1" applyBorder="1" applyAlignment="1">
      <alignment wrapText="1"/>
      <protection/>
    </xf>
    <xf numFmtId="3" fontId="16" fillId="0" borderId="88" xfId="63" applyNumberFormat="1" applyFont="1" applyBorder="1" applyAlignment="1">
      <alignment wrapText="1"/>
      <protection/>
    </xf>
    <xf numFmtId="0" fontId="16" fillId="0" borderId="71" xfId="63" applyFont="1" applyBorder="1" applyAlignment="1">
      <alignment wrapText="1"/>
      <protection/>
    </xf>
    <xf numFmtId="3" fontId="16" fillId="0" borderId="57" xfId="63" applyNumberFormat="1" applyFont="1" applyBorder="1" applyAlignment="1">
      <alignment wrapText="1"/>
      <protection/>
    </xf>
    <xf numFmtId="3" fontId="16" fillId="0" borderId="22" xfId="63" applyNumberFormat="1" applyFont="1" applyBorder="1" applyAlignment="1">
      <alignment wrapText="1"/>
      <protection/>
    </xf>
    <xf numFmtId="3" fontId="16" fillId="0" borderId="23" xfId="63" applyNumberFormat="1" applyFont="1" applyBorder="1" applyAlignment="1">
      <alignment wrapText="1"/>
      <protection/>
    </xf>
    <xf numFmtId="3" fontId="16" fillId="0" borderId="74" xfId="63" applyNumberFormat="1" applyFont="1" applyBorder="1" applyAlignment="1">
      <alignment wrapText="1"/>
      <protection/>
    </xf>
    <xf numFmtId="3" fontId="16" fillId="0" borderId="75" xfId="63" applyNumberFormat="1" applyFont="1" applyBorder="1" applyAlignment="1">
      <alignment wrapText="1"/>
      <protection/>
    </xf>
    <xf numFmtId="3" fontId="16" fillId="0" borderId="76" xfId="63" applyNumberFormat="1" applyFont="1" applyBorder="1" applyAlignment="1">
      <alignment wrapText="1"/>
      <protection/>
    </xf>
    <xf numFmtId="3" fontId="16" fillId="0" borderId="42" xfId="63" applyNumberFormat="1" applyFont="1" applyBorder="1" applyAlignment="1">
      <alignment wrapText="1"/>
      <protection/>
    </xf>
    <xf numFmtId="3" fontId="17" fillId="0" borderId="89" xfId="63" applyNumberFormat="1" applyFont="1" applyBorder="1" applyAlignment="1">
      <alignment wrapText="1"/>
      <protection/>
    </xf>
    <xf numFmtId="0" fontId="26" fillId="0" borderId="81" xfId="63" applyFont="1" applyBorder="1" applyAlignment="1">
      <alignment horizontal="left" wrapText="1" indent="1"/>
      <protection/>
    </xf>
    <xf numFmtId="3" fontId="26" fillId="0" borderId="82" xfId="63" applyNumberFormat="1" applyFont="1" applyBorder="1" applyAlignment="1">
      <alignment wrapText="1"/>
      <protection/>
    </xf>
    <xf numFmtId="3" fontId="26" fillId="0" borderId="83" xfId="63" applyNumberFormat="1" applyFont="1" applyBorder="1" applyAlignment="1">
      <alignment wrapText="1"/>
      <protection/>
    </xf>
    <xf numFmtId="3" fontId="26" fillId="0" borderId="90" xfId="63" applyNumberFormat="1" applyFont="1" applyBorder="1" applyAlignment="1">
      <alignment wrapText="1"/>
      <protection/>
    </xf>
    <xf numFmtId="3" fontId="15" fillId="0" borderId="84" xfId="63" applyNumberFormat="1" applyFont="1" applyBorder="1" applyAlignment="1">
      <alignment wrapText="1"/>
      <protection/>
    </xf>
    <xf numFmtId="3" fontId="17" fillId="0" borderId="90" xfId="63" applyNumberFormat="1" applyFont="1" applyBorder="1" applyAlignment="1">
      <alignment wrapText="1"/>
      <protection/>
    </xf>
    <xf numFmtId="0" fontId="17" fillId="0" borderId="85" xfId="63" applyFont="1" applyBorder="1" applyAlignment="1">
      <alignment wrapText="1"/>
      <protection/>
    </xf>
    <xf numFmtId="3" fontId="17" fillId="0" borderId="91" xfId="63" applyNumberFormat="1" applyFont="1" applyBorder="1" applyAlignment="1">
      <alignment wrapText="1"/>
      <protection/>
    </xf>
    <xf numFmtId="0" fontId="16" fillId="0" borderId="92" xfId="63" applyFont="1" applyBorder="1" applyAlignment="1">
      <alignment wrapText="1"/>
      <protection/>
    </xf>
    <xf numFmtId="3" fontId="16" fillId="0" borderId="93" xfId="63" applyNumberFormat="1" applyFont="1" applyBorder="1" applyAlignment="1">
      <alignment wrapText="1"/>
      <protection/>
    </xf>
    <xf numFmtId="3" fontId="16" fillId="0" borderId="94" xfId="63" applyNumberFormat="1" applyFont="1" applyBorder="1" applyAlignment="1">
      <alignment wrapText="1"/>
      <protection/>
    </xf>
    <xf numFmtId="3" fontId="16" fillId="0" borderId="95" xfId="63" applyNumberFormat="1" applyFont="1" applyBorder="1" applyAlignment="1">
      <alignment wrapText="1"/>
      <protection/>
    </xf>
    <xf numFmtId="3" fontId="16" fillId="0" borderId="43" xfId="63" applyNumberFormat="1" applyFont="1" applyBorder="1" applyAlignment="1">
      <alignment wrapText="1"/>
      <protection/>
    </xf>
    <xf numFmtId="185" fontId="16" fillId="0" borderId="0" xfId="83" applyNumberFormat="1" applyFont="1" applyFill="1" applyBorder="1" applyAlignment="1" applyProtection="1">
      <alignment horizontal="center" vertical="center" wrapText="1"/>
      <protection/>
    </xf>
    <xf numFmtId="185" fontId="16" fillId="0" borderId="0" xfId="83" applyNumberFormat="1" applyFont="1" applyFill="1" applyBorder="1" applyAlignment="1" applyProtection="1">
      <alignment horizontal="centerContinuous" vertical="center"/>
      <protection/>
    </xf>
    <xf numFmtId="0" fontId="15" fillId="0" borderId="0" xfId="63" applyFont="1" applyFill="1" applyBorder="1" applyAlignment="1" applyProtection="1">
      <alignment horizontal="right"/>
      <protection/>
    </xf>
    <xf numFmtId="3" fontId="17" fillId="0" borderId="0" xfId="63" applyNumberFormat="1" applyFont="1">
      <alignment/>
      <protection/>
    </xf>
    <xf numFmtId="0" fontId="16" fillId="0" borderId="67" xfId="83" applyFont="1" applyFill="1" applyBorder="1" applyAlignment="1" applyProtection="1">
      <alignment horizontal="center" vertical="center" wrapText="1"/>
      <protection/>
    </xf>
    <xf numFmtId="0" fontId="17" fillId="0" borderId="66" xfId="83" applyFont="1" applyFill="1" applyBorder="1" applyAlignment="1" applyProtection="1">
      <alignment horizontal="center" vertical="center"/>
      <protection/>
    </xf>
    <xf numFmtId="0" fontId="17" fillId="0" borderId="67" xfId="83" applyFont="1" applyFill="1" applyBorder="1" applyAlignment="1" applyProtection="1">
      <alignment horizontal="center" vertical="center"/>
      <protection/>
    </xf>
    <xf numFmtId="0" fontId="17" fillId="0" borderId="17" xfId="83" applyFont="1" applyFill="1" applyBorder="1" applyAlignment="1" applyProtection="1">
      <alignment horizontal="center" vertical="center"/>
      <protection/>
    </xf>
    <xf numFmtId="0" fontId="17" fillId="0" borderId="69" xfId="83" applyFont="1" applyFill="1" applyBorder="1" applyAlignment="1" applyProtection="1">
      <alignment horizontal="center" vertical="center"/>
      <protection/>
    </xf>
    <xf numFmtId="0" fontId="16" fillId="0" borderId="66" xfId="83" applyFont="1" applyFill="1" applyBorder="1" applyAlignment="1" applyProtection="1">
      <alignment horizontal="center" vertical="center"/>
      <protection/>
    </xf>
    <xf numFmtId="3" fontId="16" fillId="0" borderId="66" xfId="63" applyNumberFormat="1" applyFont="1" applyBorder="1" applyAlignment="1">
      <alignment wrapText="1"/>
      <protection/>
    </xf>
    <xf numFmtId="0" fontId="17" fillId="0" borderId="42" xfId="63" applyFont="1" applyBorder="1" applyAlignment="1">
      <alignment horizontal="center" wrapText="1"/>
      <protection/>
    </xf>
    <xf numFmtId="3" fontId="17" fillId="0" borderId="80" xfId="63" applyNumberFormat="1" applyFont="1" applyBorder="1" applyAlignment="1">
      <alignment wrapText="1"/>
      <protection/>
    </xf>
    <xf numFmtId="3" fontId="17" fillId="0" borderId="84" xfId="63" applyNumberFormat="1" applyFont="1" applyBorder="1" applyAlignment="1">
      <alignment wrapText="1"/>
      <protection/>
    </xf>
    <xf numFmtId="3" fontId="17" fillId="0" borderId="88" xfId="63" applyNumberFormat="1" applyFont="1" applyBorder="1" applyAlignment="1">
      <alignment wrapText="1"/>
      <protection/>
    </xf>
    <xf numFmtId="3" fontId="26" fillId="0" borderId="84" xfId="63" applyNumberFormat="1" applyFont="1" applyBorder="1" applyAlignment="1">
      <alignment wrapText="1"/>
      <protection/>
    </xf>
    <xf numFmtId="0" fontId="16" fillId="0" borderId="64" xfId="83" applyFont="1" applyFill="1" applyBorder="1" applyAlignment="1" applyProtection="1">
      <alignment horizontal="center" vertical="center" wrapText="1"/>
      <protection/>
    </xf>
    <xf numFmtId="0" fontId="17" fillId="0" borderId="68" xfId="83" applyFont="1" applyFill="1" applyBorder="1" applyAlignment="1" applyProtection="1">
      <alignment horizontal="center" vertical="center"/>
      <protection/>
    </xf>
    <xf numFmtId="0" fontId="17" fillId="0" borderId="64" xfId="83" applyFont="1" applyFill="1" applyBorder="1" applyAlignment="1" applyProtection="1">
      <alignment horizontal="left" indent="1"/>
      <protection locked="0"/>
    </xf>
    <xf numFmtId="0" fontId="17" fillId="0" borderId="65" xfId="83" applyFont="1" applyFill="1" applyBorder="1" applyAlignment="1" applyProtection="1">
      <alignment horizontal="left" indent="1"/>
      <protection locked="0"/>
    </xf>
    <xf numFmtId="0" fontId="17" fillId="0" borderId="70" xfId="83" applyFont="1" applyFill="1" applyBorder="1" applyAlignment="1" applyProtection="1">
      <alignment horizontal="left" indent="1"/>
      <protection locked="0"/>
    </xf>
    <xf numFmtId="0" fontId="16" fillId="0" borderId="68" xfId="83" applyFont="1" applyFill="1" applyBorder="1" applyAlignment="1" applyProtection="1">
      <alignment horizontal="left" vertical="center" wrapText="1"/>
      <protection/>
    </xf>
    <xf numFmtId="0" fontId="16" fillId="0" borderId="27" xfId="83" applyFont="1" applyFill="1" applyBorder="1" applyAlignment="1" applyProtection="1">
      <alignment horizontal="center" vertical="center" wrapText="1"/>
      <protection/>
    </xf>
    <xf numFmtId="0" fontId="17" fillId="0" borderId="42" xfId="83" applyFont="1" applyFill="1" applyBorder="1" applyAlignment="1" applyProtection="1">
      <alignment horizontal="center" vertical="center"/>
      <protection/>
    </xf>
    <xf numFmtId="187" fontId="17" fillId="0" borderId="27" xfId="42" applyNumberFormat="1" applyFont="1" applyFill="1" applyBorder="1" applyAlignment="1" applyProtection="1">
      <alignment/>
      <protection locked="0"/>
    </xf>
    <xf numFmtId="187" fontId="17" fillId="0" borderId="28" xfId="42" applyNumberFormat="1" applyFont="1" applyFill="1" applyBorder="1" applyAlignment="1" applyProtection="1">
      <alignment/>
      <protection locked="0"/>
    </xf>
    <xf numFmtId="187" fontId="17" fillId="0" borderId="30" xfId="42" applyNumberFormat="1" applyFont="1" applyFill="1" applyBorder="1" applyAlignment="1" applyProtection="1">
      <alignment/>
      <protection locked="0"/>
    </xf>
    <xf numFmtId="187" fontId="16" fillId="0" borderId="42" xfId="42" applyNumberFormat="1" applyFont="1" applyFill="1" applyBorder="1" applyAlignment="1" applyProtection="1">
      <alignment/>
      <protection/>
    </xf>
    <xf numFmtId="0" fontId="17" fillId="0" borderId="96" xfId="63" applyFont="1" applyBorder="1" applyAlignment="1">
      <alignment horizontal="center" wrapText="1"/>
      <protection/>
    </xf>
    <xf numFmtId="0" fontId="17" fillId="0" borderId="97" xfId="63" applyFont="1" applyBorder="1" applyAlignment="1">
      <alignment horizontal="center" wrapText="1"/>
      <protection/>
    </xf>
    <xf numFmtId="0" fontId="17" fillId="0" borderId="98" xfId="63" applyFont="1" applyBorder="1" applyAlignment="1">
      <alignment horizontal="center" wrapText="1"/>
      <protection/>
    </xf>
    <xf numFmtId="0" fontId="16" fillId="0" borderId="72" xfId="63" applyFont="1" applyBorder="1" applyAlignment="1">
      <alignment horizontal="center" wrapText="1"/>
      <protection/>
    </xf>
    <xf numFmtId="0" fontId="26" fillId="0" borderId="97" xfId="63" applyFont="1" applyBorder="1" applyAlignment="1">
      <alignment horizontal="center" wrapText="1"/>
      <protection/>
    </xf>
    <xf numFmtId="0" fontId="16" fillId="0" borderId="99" xfId="63" applyFont="1" applyBorder="1" applyAlignment="1">
      <alignment horizontal="center" wrapText="1"/>
      <protection/>
    </xf>
    <xf numFmtId="3" fontId="16" fillId="0" borderId="20" xfId="63" applyNumberFormat="1" applyFont="1" applyBorder="1" applyAlignment="1">
      <alignment wrapText="1"/>
      <protection/>
    </xf>
    <xf numFmtId="3" fontId="17" fillId="0" borderId="100" xfId="63" applyNumberFormat="1" applyFont="1" applyBorder="1" applyAlignment="1">
      <alignment wrapText="1"/>
      <protection/>
    </xf>
    <xf numFmtId="0" fontId="17" fillId="0" borderId="0" xfId="63" applyFont="1" applyAlignment="1">
      <alignment horizontal="center"/>
      <protection/>
    </xf>
    <xf numFmtId="3" fontId="17" fillId="0" borderId="28" xfId="63" applyNumberFormat="1" applyFont="1" applyFill="1" applyBorder="1" applyAlignment="1" applyProtection="1">
      <alignment horizontal="left" vertical="center" wrapText="1" indent="1"/>
      <protection locked="0"/>
    </xf>
    <xf numFmtId="3" fontId="17" fillId="0" borderId="16" xfId="63" applyNumberFormat="1" applyFont="1" applyFill="1" applyBorder="1" applyAlignment="1" applyProtection="1">
      <alignment vertical="center" wrapText="1"/>
      <protection locked="0"/>
    </xf>
    <xf numFmtId="3" fontId="17" fillId="0" borderId="18" xfId="63" applyNumberFormat="1" applyFont="1" applyFill="1" applyBorder="1" applyAlignment="1" applyProtection="1">
      <alignment vertical="center" wrapText="1"/>
      <protection locked="0"/>
    </xf>
    <xf numFmtId="3" fontId="17" fillId="0" borderId="101" xfId="63" applyNumberFormat="1" applyFont="1" applyFill="1" applyBorder="1" applyAlignment="1" applyProtection="1">
      <alignment vertical="center" wrapText="1"/>
      <protection locked="0"/>
    </xf>
    <xf numFmtId="3" fontId="17" fillId="0" borderId="28" xfId="63" applyNumberFormat="1" applyFont="1" applyFill="1" applyBorder="1" applyAlignment="1" applyProtection="1">
      <alignment vertical="center" wrapText="1"/>
      <protection locked="0"/>
    </xf>
    <xf numFmtId="1" fontId="17" fillId="0" borderId="10" xfId="63" applyNumberFormat="1" applyFont="1" applyFill="1" applyBorder="1" applyAlignment="1" applyProtection="1">
      <alignment horizontal="center" vertical="center" wrapText="1"/>
      <protection locked="0"/>
    </xf>
    <xf numFmtId="3" fontId="17" fillId="0" borderId="17" xfId="63" applyNumberFormat="1" applyFont="1" applyFill="1" applyBorder="1" applyAlignment="1">
      <alignment horizontal="center" vertical="center" wrapText="1"/>
      <protection/>
    </xf>
    <xf numFmtId="3" fontId="16" fillId="0" borderId="20" xfId="63" applyNumberFormat="1" applyFont="1" applyFill="1" applyBorder="1" applyAlignment="1">
      <alignment vertical="center" wrapText="1"/>
      <protection/>
    </xf>
    <xf numFmtId="3" fontId="16" fillId="0" borderId="22" xfId="63" applyNumberFormat="1" applyFont="1" applyFill="1" applyBorder="1" applyAlignment="1" applyProtection="1">
      <alignment vertical="center" wrapText="1"/>
      <protection/>
    </xf>
    <xf numFmtId="3" fontId="16" fillId="0" borderId="66" xfId="63" applyNumberFormat="1" applyFont="1" applyFill="1" applyBorder="1" applyAlignment="1" applyProtection="1">
      <alignment vertical="center" wrapText="1"/>
      <protection/>
    </xf>
    <xf numFmtId="3" fontId="16" fillId="0" borderId="22" xfId="63" applyNumberFormat="1" applyFont="1" applyFill="1" applyBorder="1" applyAlignment="1" applyProtection="1">
      <alignment horizontal="center" vertical="center" wrapText="1"/>
      <protection/>
    </xf>
    <xf numFmtId="3" fontId="16" fillId="0" borderId="56" xfId="63" applyNumberFormat="1" applyFont="1" applyFill="1" applyBorder="1" applyAlignment="1">
      <alignment horizontal="center" vertical="center" wrapText="1"/>
      <protection/>
    </xf>
    <xf numFmtId="3" fontId="16" fillId="0" borderId="60" xfId="63" applyNumberFormat="1" applyFont="1" applyFill="1" applyBorder="1" applyAlignment="1">
      <alignment horizontal="center" vertical="center" wrapText="1"/>
      <protection/>
    </xf>
    <xf numFmtId="3" fontId="16" fillId="0" borderId="102" xfId="63" applyNumberFormat="1" applyFont="1" applyFill="1" applyBorder="1" applyAlignment="1">
      <alignment horizontal="center" vertical="center" wrapText="1"/>
      <protection/>
    </xf>
    <xf numFmtId="3" fontId="16" fillId="0" borderId="103" xfId="63" applyNumberFormat="1" applyFont="1" applyFill="1" applyBorder="1" applyAlignment="1">
      <alignment horizontal="center" vertical="center" wrapText="1"/>
      <protection/>
    </xf>
    <xf numFmtId="3" fontId="16" fillId="0" borderId="68" xfId="63" applyNumberFormat="1" applyFont="1" applyFill="1" applyBorder="1" applyAlignment="1">
      <alignment horizontal="center" vertical="center" wrapText="1"/>
      <protection/>
    </xf>
    <xf numFmtId="3" fontId="17" fillId="0" borderId="0" xfId="63" applyNumberFormat="1" applyFont="1" applyFill="1" applyAlignment="1">
      <alignment horizontal="center" vertical="center" wrapText="1"/>
      <protection/>
    </xf>
    <xf numFmtId="3" fontId="16" fillId="0" borderId="57" xfId="63" applyNumberFormat="1" applyFont="1" applyFill="1" applyBorder="1" applyAlignment="1">
      <alignment horizontal="center" vertical="center"/>
      <protection/>
    </xf>
    <xf numFmtId="3" fontId="16" fillId="0" borderId="41" xfId="63" applyNumberFormat="1" applyFont="1" applyFill="1" applyBorder="1" applyAlignment="1">
      <alignment horizontal="center" vertical="center"/>
      <protection/>
    </xf>
    <xf numFmtId="3" fontId="16" fillId="0" borderId="66" xfId="63" applyNumberFormat="1" applyFont="1" applyFill="1" applyBorder="1" applyAlignment="1">
      <alignment horizontal="center" vertical="center" wrapText="1"/>
      <protection/>
    </xf>
    <xf numFmtId="3" fontId="6" fillId="0" borderId="0" xfId="63" applyNumberFormat="1" applyFont="1" applyFill="1" applyAlignment="1">
      <alignment vertical="center" wrapText="1"/>
      <protection/>
    </xf>
    <xf numFmtId="3" fontId="6" fillId="0" borderId="0" xfId="63" applyNumberFormat="1" applyFont="1" applyFill="1" applyAlignment="1">
      <alignment horizontal="center" vertical="center" wrapText="1"/>
      <protection/>
    </xf>
    <xf numFmtId="3" fontId="17" fillId="0" borderId="0" xfId="63" applyNumberFormat="1" applyFont="1" applyFill="1" applyAlignment="1">
      <alignment vertical="center" wrapText="1"/>
      <protection/>
    </xf>
    <xf numFmtId="3" fontId="16" fillId="0" borderId="42" xfId="63" applyNumberFormat="1" applyFont="1" applyFill="1" applyBorder="1" applyAlignment="1">
      <alignment horizontal="center" vertical="center" wrapText="1"/>
      <protection/>
    </xf>
    <xf numFmtId="3" fontId="16" fillId="0" borderId="42" xfId="63" applyNumberFormat="1" applyFont="1" applyFill="1" applyBorder="1" applyAlignment="1">
      <alignment horizontal="left" vertical="center" wrapText="1" indent="1"/>
      <protection/>
    </xf>
    <xf numFmtId="3" fontId="16" fillId="0" borderId="23" xfId="63" applyNumberFormat="1" applyFont="1" applyFill="1" applyBorder="1" applyAlignment="1" applyProtection="1">
      <alignment vertical="center" wrapText="1"/>
      <protection/>
    </xf>
    <xf numFmtId="3" fontId="16" fillId="0" borderId="57" xfId="63" applyNumberFormat="1" applyFont="1" applyFill="1" applyBorder="1" applyAlignment="1">
      <alignment horizontal="center" vertical="center" wrapText="1"/>
      <protection/>
    </xf>
    <xf numFmtId="3" fontId="16" fillId="0" borderId="68" xfId="63" applyNumberFormat="1" applyFont="1" applyFill="1" applyBorder="1" applyAlignment="1" applyProtection="1">
      <alignment vertical="center" wrapText="1"/>
      <protection/>
    </xf>
    <xf numFmtId="3" fontId="16" fillId="0" borderId="66" xfId="63" applyNumberFormat="1" applyFont="1" applyFill="1" applyBorder="1" applyAlignment="1">
      <alignment horizontal="center" vertical="center"/>
      <protection/>
    </xf>
    <xf numFmtId="3" fontId="16" fillId="0" borderId="57" xfId="83" applyNumberFormat="1" applyFont="1" applyFill="1" applyBorder="1" applyAlignment="1" applyProtection="1">
      <alignment horizontal="center" vertical="center" wrapText="1"/>
      <protection/>
    </xf>
    <xf numFmtId="3" fontId="16" fillId="0" borderId="57" xfId="63" applyNumberFormat="1" applyFont="1" applyFill="1" applyBorder="1" applyAlignment="1" applyProtection="1">
      <alignment vertical="center" wrapText="1"/>
      <protection/>
    </xf>
    <xf numFmtId="3" fontId="16" fillId="0" borderId="104" xfId="63" applyNumberFormat="1" applyFont="1" applyFill="1" applyBorder="1" applyAlignment="1">
      <alignment horizontal="center" vertical="center"/>
      <protection/>
    </xf>
    <xf numFmtId="3" fontId="16" fillId="0" borderId="36" xfId="63" applyNumberFormat="1" applyFont="1" applyFill="1" applyBorder="1" applyAlignment="1">
      <alignment horizontal="center" vertical="center" wrapText="1"/>
      <protection/>
    </xf>
    <xf numFmtId="3" fontId="17" fillId="0" borderId="14" xfId="63" applyNumberFormat="1" applyFont="1" applyFill="1" applyBorder="1" applyAlignment="1" applyProtection="1">
      <alignment vertical="center" wrapText="1"/>
      <protection locked="0"/>
    </xf>
    <xf numFmtId="3" fontId="17" fillId="0" borderId="28" xfId="63" applyNumberFormat="1" applyFont="1" applyFill="1" applyBorder="1" applyAlignment="1" applyProtection="1">
      <alignment horizontal="left" vertical="center" wrapText="1" indent="3"/>
      <protection locked="0"/>
    </xf>
    <xf numFmtId="3" fontId="17" fillId="0" borderId="59" xfId="63" applyNumberFormat="1" applyFont="1" applyFill="1" applyBorder="1" applyAlignment="1" applyProtection="1">
      <alignment vertical="center" wrapText="1"/>
      <protection locked="0"/>
    </xf>
    <xf numFmtId="3" fontId="17" fillId="0" borderId="65" xfId="63" applyNumberFormat="1" applyFont="1" applyFill="1" applyBorder="1" applyAlignment="1" applyProtection="1">
      <alignment vertical="center" wrapText="1"/>
      <protection locked="0"/>
    </xf>
    <xf numFmtId="3" fontId="17" fillId="0" borderId="17" xfId="63" applyNumberFormat="1" applyFont="1" applyFill="1" applyBorder="1" applyAlignment="1" applyProtection="1">
      <alignment vertical="center" wrapText="1"/>
      <protection locked="0"/>
    </xf>
    <xf numFmtId="3" fontId="17" fillId="0" borderId="10" xfId="63" applyNumberFormat="1" applyFont="1" applyFill="1" applyBorder="1" applyAlignment="1" applyProtection="1">
      <alignment vertical="center" wrapText="1"/>
      <protection locked="0"/>
    </xf>
    <xf numFmtId="3" fontId="17" fillId="0" borderId="24" xfId="63" applyNumberFormat="1" applyFont="1" applyFill="1" applyBorder="1" applyAlignment="1" applyProtection="1">
      <alignment vertical="center" wrapText="1"/>
      <protection locked="0"/>
    </xf>
    <xf numFmtId="3" fontId="16" fillId="0" borderId="28" xfId="63" applyNumberFormat="1" applyFont="1" applyFill="1" applyBorder="1" applyAlignment="1">
      <alignment vertical="center" wrapText="1"/>
      <protection/>
    </xf>
    <xf numFmtId="3" fontId="16" fillId="0" borderId="42" xfId="63" applyNumberFormat="1" applyFont="1" applyFill="1" applyBorder="1" applyAlignment="1" applyProtection="1">
      <alignment horizontal="left" vertical="center" wrapText="1" indent="1"/>
      <protection locked="0"/>
    </xf>
    <xf numFmtId="3" fontId="17" fillId="0" borderId="27" xfId="63" applyNumberFormat="1" applyFont="1" applyFill="1" applyBorder="1" applyAlignment="1" applyProtection="1">
      <alignment vertical="center" wrapText="1"/>
      <protection locked="0"/>
    </xf>
    <xf numFmtId="3" fontId="16" fillId="0" borderId="27" xfId="63" applyNumberFormat="1" applyFont="1" applyFill="1" applyBorder="1" applyAlignment="1">
      <alignment vertical="center" wrapText="1"/>
      <protection/>
    </xf>
    <xf numFmtId="3" fontId="16" fillId="0" borderId="49" xfId="63" applyNumberFormat="1" applyFont="1" applyFill="1" applyBorder="1" applyAlignment="1" applyProtection="1">
      <alignment horizontal="left" vertical="center" wrapText="1" indent="1"/>
      <protection locked="0"/>
    </xf>
    <xf numFmtId="3" fontId="16" fillId="0" borderId="42" xfId="63" applyNumberFormat="1" applyFont="1" applyFill="1" applyBorder="1" applyAlignment="1" applyProtection="1">
      <alignment horizontal="center" vertical="center" wrapText="1"/>
      <protection/>
    </xf>
    <xf numFmtId="3" fontId="16" fillId="0" borderId="42" xfId="63" applyNumberFormat="1" applyFont="1" applyFill="1" applyBorder="1" applyAlignment="1" applyProtection="1">
      <alignment vertical="center" wrapText="1"/>
      <protection locked="0"/>
    </xf>
    <xf numFmtId="3" fontId="16" fillId="0" borderId="57" xfId="63" applyNumberFormat="1" applyFont="1" applyFill="1" applyBorder="1" applyAlignment="1" applyProtection="1">
      <alignment vertical="center" wrapText="1"/>
      <protection locked="0"/>
    </xf>
    <xf numFmtId="3" fontId="16" fillId="0" borderId="68" xfId="63" applyNumberFormat="1" applyFont="1" applyFill="1" applyBorder="1" applyAlignment="1" applyProtection="1">
      <alignment vertical="center" wrapText="1"/>
      <protection locked="0"/>
    </xf>
    <xf numFmtId="3" fontId="16" fillId="0" borderId="66" xfId="63" applyNumberFormat="1" applyFont="1" applyFill="1" applyBorder="1" applyAlignment="1" applyProtection="1">
      <alignment vertical="center" wrapText="1"/>
      <protection locked="0"/>
    </xf>
    <xf numFmtId="3" fontId="16" fillId="0" borderId="22" xfId="63" applyNumberFormat="1" applyFont="1" applyFill="1" applyBorder="1" applyAlignment="1" applyProtection="1">
      <alignment vertical="center" wrapText="1"/>
      <protection locked="0"/>
    </xf>
    <xf numFmtId="3" fontId="16" fillId="0" borderId="23" xfId="63" applyNumberFormat="1" applyFont="1" applyFill="1" applyBorder="1" applyAlignment="1" applyProtection="1">
      <alignment vertical="center" wrapText="1"/>
      <protection locked="0"/>
    </xf>
    <xf numFmtId="3" fontId="17" fillId="0" borderId="27" xfId="63" applyNumberFormat="1" applyFont="1" applyFill="1" applyBorder="1" applyAlignment="1">
      <alignment horizontal="center" vertical="center" wrapText="1"/>
      <protection/>
    </xf>
    <xf numFmtId="3" fontId="17" fillId="0" borderId="27" xfId="63" applyNumberFormat="1" applyFont="1" applyFill="1" applyBorder="1" applyAlignment="1" applyProtection="1">
      <alignment horizontal="left" vertical="center" wrapText="1" indent="1"/>
      <protection locked="0"/>
    </xf>
    <xf numFmtId="1" fontId="17" fillId="0" borderId="64" xfId="63" applyNumberFormat="1" applyFont="1" applyFill="1" applyBorder="1" applyAlignment="1" applyProtection="1">
      <alignment horizontal="center" vertical="center" wrapText="1"/>
      <protection locked="0"/>
    </xf>
    <xf numFmtId="3" fontId="17" fillId="0" borderId="58" xfId="63" applyNumberFormat="1" applyFont="1" applyFill="1" applyBorder="1" applyAlignment="1" applyProtection="1">
      <alignment vertical="center" wrapText="1"/>
      <protection locked="0"/>
    </xf>
    <xf numFmtId="3" fontId="17" fillId="0" borderId="67" xfId="63" applyNumberFormat="1" applyFont="1" applyFill="1" applyBorder="1" applyAlignment="1" applyProtection="1">
      <alignment vertical="center" wrapText="1"/>
      <protection locked="0"/>
    </xf>
    <xf numFmtId="3" fontId="17" fillId="0" borderId="45" xfId="63" applyNumberFormat="1" applyFont="1" applyFill="1" applyBorder="1" applyAlignment="1" applyProtection="1">
      <alignment vertical="center" wrapText="1"/>
      <protection locked="0"/>
    </xf>
    <xf numFmtId="3" fontId="17" fillId="0" borderId="46" xfId="63" applyNumberFormat="1" applyFont="1" applyFill="1" applyBorder="1" applyAlignment="1" applyProtection="1">
      <alignment vertical="center" wrapText="1"/>
      <protection locked="0"/>
    </xf>
    <xf numFmtId="3" fontId="17" fillId="0" borderId="18" xfId="63" applyNumberFormat="1" applyFont="1" applyFill="1" applyBorder="1" applyAlignment="1">
      <alignment horizontal="center" vertical="center" wrapText="1"/>
      <protection/>
    </xf>
    <xf numFmtId="3" fontId="17" fillId="0" borderId="65" xfId="63" applyNumberFormat="1" applyFont="1" applyFill="1" applyBorder="1" applyAlignment="1" applyProtection="1">
      <alignment horizontal="center" vertical="center" wrapText="1"/>
      <protection locked="0"/>
    </xf>
    <xf numFmtId="3" fontId="17" fillId="0" borderId="37" xfId="63" applyNumberFormat="1" applyFont="1" applyFill="1" applyBorder="1" applyAlignment="1" applyProtection="1">
      <alignment horizontal="left" vertical="center" wrapText="1" indent="3"/>
      <protection locked="0"/>
    </xf>
    <xf numFmtId="3" fontId="17" fillId="0" borderId="73" xfId="63" applyNumberFormat="1" applyFont="1" applyFill="1" applyBorder="1" applyAlignment="1" applyProtection="1">
      <alignment horizontal="center" vertical="center" wrapText="1"/>
      <protection locked="0"/>
    </xf>
    <xf numFmtId="3" fontId="17" fillId="0" borderId="56" xfId="63" applyNumberFormat="1" applyFont="1" applyFill="1" applyBorder="1" applyAlignment="1" applyProtection="1">
      <alignment vertical="center" wrapText="1"/>
      <protection locked="0"/>
    </xf>
    <xf numFmtId="3" fontId="17" fillId="0" borderId="105" xfId="63" applyNumberFormat="1" applyFont="1" applyFill="1" applyBorder="1" applyAlignment="1" applyProtection="1">
      <alignment vertical="center" wrapText="1"/>
      <protection locked="0"/>
    </xf>
    <xf numFmtId="3" fontId="17" fillId="0" borderId="106" xfId="63" applyNumberFormat="1" applyFont="1" applyFill="1" applyBorder="1" applyAlignment="1" applyProtection="1">
      <alignment vertical="center" wrapText="1"/>
      <protection locked="0"/>
    </xf>
    <xf numFmtId="3" fontId="17" fillId="0" borderId="39" xfId="63" applyNumberFormat="1" applyFont="1" applyFill="1" applyBorder="1" applyAlignment="1" applyProtection="1">
      <alignment vertical="center" wrapText="1"/>
      <protection locked="0"/>
    </xf>
    <xf numFmtId="3" fontId="17" fillId="0" borderId="40" xfId="63" applyNumberFormat="1" applyFont="1" applyFill="1" applyBorder="1" applyAlignment="1" applyProtection="1">
      <alignment vertical="center" wrapText="1"/>
      <protection locked="0"/>
    </xf>
    <xf numFmtId="3" fontId="16" fillId="0" borderId="56" xfId="63" applyNumberFormat="1" applyFont="1" applyFill="1" applyBorder="1" applyAlignment="1">
      <alignment vertical="center" wrapText="1"/>
      <protection/>
    </xf>
    <xf numFmtId="185" fontId="16" fillId="0" borderId="49" xfId="63" applyNumberFormat="1" applyFont="1" applyFill="1" applyBorder="1" applyAlignment="1" applyProtection="1">
      <alignment horizontal="left" vertical="center" wrapText="1" indent="1"/>
      <protection locked="0"/>
    </xf>
    <xf numFmtId="3" fontId="17" fillId="0" borderId="30" xfId="63" applyNumberFormat="1" applyFont="1" applyFill="1" applyBorder="1" applyAlignment="1">
      <alignment horizontal="center" vertical="center" wrapText="1"/>
      <protection/>
    </xf>
    <xf numFmtId="3" fontId="17" fillId="0" borderId="48" xfId="63" applyNumberFormat="1" applyFont="1" applyFill="1" applyBorder="1" applyAlignment="1" applyProtection="1">
      <alignment horizontal="left" vertical="center" wrapText="1" indent="1"/>
      <protection locked="0"/>
    </xf>
    <xf numFmtId="1" fontId="17" fillId="0" borderId="30" xfId="63" applyNumberFormat="1" applyFont="1" applyFill="1" applyBorder="1" applyAlignment="1" applyProtection="1">
      <alignment horizontal="center" vertical="center" wrapText="1"/>
      <protection locked="0"/>
    </xf>
    <xf numFmtId="3" fontId="17" fillId="0" borderId="30" xfId="63" applyNumberFormat="1" applyFont="1" applyFill="1" applyBorder="1" applyAlignment="1" applyProtection="1">
      <alignment vertical="center" wrapText="1"/>
      <protection locked="0"/>
    </xf>
    <xf numFmtId="3" fontId="17" fillId="0" borderId="107" xfId="63" applyNumberFormat="1" applyFont="1" applyFill="1" applyBorder="1" applyAlignment="1" applyProtection="1">
      <alignment vertical="center" wrapText="1"/>
      <protection locked="0"/>
    </xf>
    <xf numFmtId="3" fontId="17" fillId="0" borderId="69" xfId="63" applyNumberFormat="1" applyFont="1" applyFill="1" applyBorder="1" applyAlignment="1" applyProtection="1">
      <alignment vertical="center" wrapText="1"/>
      <protection locked="0"/>
    </xf>
    <xf numFmtId="3" fontId="17" fillId="0" borderId="32" xfId="63" applyNumberFormat="1" applyFont="1" applyFill="1" applyBorder="1" applyAlignment="1" applyProtection="1">
      <alignment vertical="center" wrapText="1"/>
      <protection locked="0"/>
    </xf>
    <xf numFmtId="3" fontId="17" fillId="0" borderId="33" xfId="63" applyNumberFormat="1" applyFont="1" applyFill="1" applyBorder="1" applyAlignment="1" applyProtection="1">
      <alignment vertical="center" wrapText="1"/>
      <protection locked="0"/>
    </xf>
    <xf numFmtId="3" fontId="16" fillId="0" borderId="108" xfId="63" applyNumberFormat="1" applyFont="1" applyFill="1" applyBorder="1" applyAlignment="1">
      <alignment vertical="center" wrapText="1"/>
      <protection/>
    </xf>
    <xf numFmtId="3" fontId="26" fillId="0" borderId="48" xfId="63" applyNumberFormat="1" applyFont="1" applyFill="1" applyBorder="1" applyAlignment="1" applyProtection="1">
      <alignment horizontal="left" vertical="center" wrapText="1" indent="1"/>
      <protection locked="0"/>
    </xf>
    <xf numFmtId="1" fontId="26" fillId="0" borderId="30" xfId="63" applyNumberFormat="1" applyFont="1" applyFill="1" applyBorder="1" applyAlignment="1" applyProtection="1">
      <alignment horizontal="center" vertical="center" wrapText="1"/>
      <protection locked="0"/>
    </xf>
    <xf numFmtId="3" fontId="26" fillId="0" borderId="30" xfId="63" applyNumberFormat="1" applyFont="1" applyFill="1" applyBorder="1" applyAlignment="1" applyProtection="1">
      <alignment vertical="center" wrapText="1"/>
      <protection locked="0"/>
    </xf>
    <xf numFmtId="3" fontId="26" fillId="0" borderId="107" xfId="63" applyNumberFormat="1" applyFont="1" applyFill="1" applyBorder="1" applyAlignment="1" applyProtection="1">
      <alignment vertical="center" wrapText="1"/>
      <protection locked="0"/>
    </xf>
    <xf numFmtId="3" fontId="26" fillId="0" borderId="69" xfId="63" applyNumberFormat="1" applyFont="1" applyFill="1" applyBorder="1" applyAlignment="1" applyProtection="1">
      <alignment vertical="center" wrapText="1"/>
      <protection locked="0"/>
    </xf>
    <xf numFmtId="3" fontId="26" fillId="0" borderId="32" xfId="63" applyNumberFormat="1" applyFont="1" applyFill="1" applyBorder="1" applyAlignment="1" applyProtection="1">
      <alignment vertical="center" wrapText="1"/>
      <protection locked="0"/>
    </xf>
    <xf numFmtId="3" fontId="26" fillId="0" borderId="33" xfId="63" applyNumberFormat="1" applyFont="1" applyFill="1" applyBorder="1" applyAlignment="1" applyProtection="1">
      <alignment vertical="center" wrapText="1"/>
      <protection locked="0"/>
    </xf>
    <xf numFmtId="3" fontId="15" fillId="0" borderId="108" xfId="63" applyNumberFormat="1" applyFont="1" applyFill="1" applyBorder="1" applyAlignment="1">
      <alignment vertical="center" wrapText="1"/>
      <protection/>
    </xf>
    <xf numFmtId="3" fontId="26" fillId="0" borderId="59" xfId="63" applyNumberFormat="1" applyFont="1" applyFill="1" applyBorder="1" applyAlignment="1" applyProtection="1">
      <alignment vertical="center" wrapText="1"/>
      <protection locked="0"/>
    </xf>
    <xf numFmtId="3" fontId="26" fillId="0" borderId="65" xfId="63" applyNumberFormat="1" applyFont="1" applyFill="1" applyBorder="1" applyAlignment="1" applyProtection="1">
      <alignment vertical="center" wrapText="1"/>
      <protection locked="0"/>
    </xf>
    <xf numFmtId="3" fontId="26" fillId="0" borderId="17" xfId="63" applyNumberFormat="1" applyFont="1" applyFill="1" applyBorder="1" applyAlignment="1" applyProtection="1">
      <alignment vertical="center" wrapText="1"/>
      <protection locked="0"/>
    </xf>
    <xf numFmtId="3" fontId="26" fillId="0" borderId="10" xfId="63" applyNumberFormat="1" applyFont="1" applyFill="1" applyBorder="1" applyAlignment="1" applyProtection="1">
      <alignment vertical="center" wrapText="1"/>
      <protection locked="0"/>
    </xf>
    <xf numFmtId="3" fontId="26" fillId="0" borderId="69" xfId="63" applyNumberFormat="1" applyFont="1" applyFill="1" applyBorder="1" applyAlignment="1">
      <alignment horizontal="center" vertical="center" wrapText="1"/>
      <protection/>
    </xf>
    <xf numFmtId="1" fontId="26" fillId="0" borderId="32" xfId="63" applyNumberFormat="1" applyFont="1" applyFill="1" applyBorder="1" applyAlignment="1" applyProtection="1">
      <alignment horizontal="center" vertical="center" wrapText="1"/>
      <protection locked="0"/>
    </xf>
    <xf numFmtId="3" fontId="26" fillId="0" borderId="43" xfId="63" applyNumberFormat="1" applyFont="1" applyFill="1" applyBorder="1" applyAlignment="1" applyProtection="1">
      <alignment vertical="center" wrapText="1"/>
      <protection locked="0"/>
    </xf>
    <xf numFmtId="3" fontId="16" fillId="22" borderId="68" xfId="63" applyNumberFormat="1" applyFont="1" applyFill="1" applyBorder="1" applyAlignment="1" applyProtection="1">
      <alignment horizontal="center" vertical="center" wrapText="1"/>
      <protection/>
    </xf>
    <xf numFmtId="3" fontId="16" fillId="0" borderId="42" xfId="63" applyNumberFormat="1" applyFont="1" applyFill="1" applyBorder="1" applyAlignment="1">
      <alignment vertical="center" wrapText="1"/>
      <protection/>
    </xf>
    <xf numFmtId="3" fontId="16" fillId="0" borderId="30" xfId="63" applyNumberFormat="1" applyFont="1" applyFill="1" applyBorder="1" applyAlignment="1">
      <alignment vertical="center" wrapText="1"/>
      <protection/>
    </xf>
    <xf numFmtId="3" fontId="26" fillId="0" borderId="24" xfId="63" applyNumberFormat="1" applyFont="1" applyFill="1" applyBorder="1" applyAlignment="1" applyProtection="1">
      <alignment vertical="center" wrapText="1"/>
      <protection locked="0"/>
    </xf>
    <xf numFmtId="3" fontId="26" fillId="0" borderId="26" xfId="63" applyNumberFormat="1" applyFont="1" applyFill="1" applyBorder="1" applyAlignment="1" applyProtection="1">
      <alignment vertical="center" wrapText="1"/>
      <protection locked="0"/>
    </xf>
    <xf numFmtId="3" fontId="17" fillId="0" borderId="26" xfId="63" applyNumberFormat="1" applyFont="1" applyFill="1" applyBorder="1" applyAlignment="1" applyProtection="1">
      <alignment vertical="center" wrapText="1"/>
      <protection locked="0"/>
    </xf>
    <xf numFmtId="3" fontId="17" fillId="0" borderId="47" xfId="63" applyNumberFormat="1" applyFont="1" applyFill="1" applyBorder="1" applyAlignment="1" applyProtection="1">
      <alignment vertical="center" wrapText="1"/>
      <protection locked="0"/>
    </xf>
    <xf numFmtId="3" fontId="16" fillId="0" borderId="23" xfId="63" applyNumberFormat="1" applyFont="1" applyFill="1" applyBorder="1" applyAlignment="1">
      <alignment vertical="center" wrapText="1"/>
      <protection/>
    </xf>
    <xf numFmtId="49" fontId="16" fillId="0" borderId="66" xfId="63" applyNumberFormat="1" applyFont="1" applyFill="1" applyBorder="1" applyAlignment="1">
      <alignment horizontal="center" vertical="center" wrapText="1"/>
      <protection/>
    </xf>
    <xf numFmtId="3" fontId="17" fillId="0" borderId="31" xfId="63" applyNumberFormat="1" applyFont="1" applyFill="1" applyBorder="1" applyAlignment="1" applyProtection="1">
      <alignment horizontal="left" vertical="center" wrapText="1" indent="1"/>
      <protection locked="0"/>
    </xf>
    <xf numFmtId="49" fontId="17" fillId="0" borderId="69" xfId="63" applyNumberFormat="1" applyFont="1" applyFill="1" applyBorder="1" applyAlignment="1">
      <alignment horizontal="center" vertical="center" wrapText="1"/>
      <protection/>
    </xf>
    <xf numFmtId="3" fontId="26" fillId="0" borderId="26" xfId="63" applyNumberFormat="1" applyFont="1" applyFill="1" applyBorder="1" applyAlignment="1" applyProtection="1">
      <alignment horizontal="left" vertical="center" wrapText="1" indent="2"/>
      <protection locked="0"/>
    </xf>
    <xf numFmtId="3" fontId="17" fillId="0" borderId="26" xfId="63" applyNumberFormat="1" applyFont="1" applyFill="1" applyBorder="1" applyAlignment="1" applyProtection="1">
      <alignment horizontal="left" vertical="center" wrapText="1" indent="1"/>
      <protection locked="0"/>
    </xf>
    <xf numFmtId="49" fontId="17" fillId="0" borderId="17" xfId="63" applyNumberFormat="1" applyFont="1" applyFill="1" applyBorder="1" applyAlignment="1">
      <alignment horizontal="center" vertical="center" wrapText="1"/>
      <protection/>
    </xf>
    <xf numFmtId="3" fontId="17" fillId="0" borderId="47" xfId="63" applyNumberFormat="1" applyFont="1" applyFill="1" applyBorder="1" applyAlignment="1" applyProtection="1">
      <alignment horizontal="left" vertical="center" wrapText="1" indent="1"/>
      <protection locked="0"/>
    </xf>
    <xf numFmtId="49" fontId="17" fillId="0" borderId="67" xfId="63" applyNumberFormat="1" applyFont="1" applyFill="1" applyBorder="1" applyAlignment="1">
      <alignment horizontal="center" vertical="center" wrapText="1"/>
      <protection/>
    </xf>
    <xf numFmtId="3" fontId="15" fillId="0" borderId="0" xfId="63" applyNumberFormat="1" applyFont="1" applyFill="1" applyAlignment="1">
      <alignment horizontal="right" vertical="center"/>
      <protection/>
    </xf>
    <xf numFmtId="3" fontId="26" fillId="0" borderId="0" xfId="63" applyNumberFormat="1" applyFont="1" applyFill="1" applyAlignment="1">
      <alignment vertical="center" wrapText="1"/>
      <protection/>
    </xf>
    <xf numFmtId="3" fontId="26" fillId="0" borderId="0" xfId="63" applyNumberFormat="1" applyFont="1" applyFill="1" applyAlignment="1">
      <alignment horizontal="center" vertical="center" wrapText="1"/>
      <protection/>
    </xf>
    <xf numFmtId="3" fontId="16" fillId="0" borderId="23" xfId="63" applyNumberFormat="1" applyFont="1" applyFill="1" applyBorder="1" applyAlignment="1">
      <alignment horizontal="center" vertical="center" wrapText="1"/>
      <protection/>
    </xf>
    <xf numFmtId="3" fontId="16" fillId="0" borderId="22" xfId="63" applyNumberFormat="1" applyFont="1" applyFill="1" applyBorder="1" applyAlignment="1">
      <alignment horizontal="center" vertical="center" wrapText="1"/>
      <protection/>
    </xf>
    <xf numFmtId="3" fontId="16" fillId="0" borderId="22" xfId="63" applyNumberFormat="1" applyFont="1" applyFill="1" applyBorder="1" applyAlignment="1">
      <alignment vertical="center" wrapText="1"/>
      <protection/>
    </xf>
    <xf numFmtId="3" fontId="17" fillId="0" borderId="31" xfId="63" applyNumberFormat="1" applyFont="1" applyFill="1" applyBorder="1" applyAlignment="1" applyProtection="1">
      <alignment vertical="center" wrapText="1"/>
      <protection locked="0"/>
    </xf>
    <xf numFmtId="3" fontId="17" fillId="0" borderId="10" xfId="85" applyNumberFormat="1" applyFont="1" applyFill="1" applyBorder="1" applyAlignment="1" applyProtection="1">
      <alignment vertical="center"/>
      <protection locked="0"/>
    </xf>
    <xf numFmtId="3" fontId="17" fillId="0" borderId="17" xfId="85" applyNumberFormat="1" applyFont="1" applyFill="1" applyBorder="1" applyAlignment="1" applyProtection="1">
      <alignment vertical="center"/>
      <protection locked="0"/>
    </xf>
    <xf numFmtId="3" fontId="17" fillId="0" borderId="24" xfId="85" applyNumberFormat="1" applyFont="1" applyFill="1" applyBorder="1" applyAlignment="1" applyProtection="1">
      <alignment vertical="center"/>
      <protection locked="0"/>
    </xf>
    <xf numFmtId="3" fontId="17" fillId="0" borderId="17" xfId="85" applyNumberFormat="1" applyFont="1" applyFill="1" applyBorder="1" applyAlignment="1" applyProtection="1">
      <alignment horizontal="left" vertical="center" indent="1"/>
      <protection/>
    </xf>
    <xf numFmtId="3" fontId="17" fillId="0" borderId="45" xfId="85" applyNumberFormat="1" applyFont="1" applyFill="1" applyBorder="1" applyAlignment="1" applyProtection="1">
      <alignment vertical="center"/>
      <protection locked="0"/>
    </xf>
    <xf numFmtId="3" fontId="17" fillId="0" borderId="67" xfId="85" applyNumberFormat="1" applyFont="1" applyFill="1" applyBorder="1" applyAlignment="1" applyProtection="1">
      <alignment vertical="center"/>
      <protection locked="0"/>
    </xf>
    <xf numFmtId="3" fontId="17" fillId="0" borderId="46" xfId="85" applyNumberFormat="1" applyFont="1" applyFill="1" applyBorder="1" applyAlignment="1" applyProtection="1">
      <alignment vertical="center"/>
      <protection locked="0"/>
    </xf>
    <xf numFmtId="3" fontId="17" fillId="0" borderId="67" xfId="85" applyNumberFormat="1" applyFont="1" applyFill="1" applyBorder="1" applyAlignment="1" applyProtection="1">
      <alignment horizontal="left" vertical="center" indent="1"/>
      <protection/>
    </xf>
    <xf numFmtId="3" fontId="17" fillId="0" borderId="103" xfId="85" applyNumberFormat="1" applyFont="1" applyFill="1" applyBorder="1" applyAlignment="1" applyProtection="1">
      <alignment horizontal="left" vertical="center" indent="1"/>
      <protection/>
    </xf>
    <xf numFmtId="3" fontId="16" fillId="0" borderId="61" xfId="85" applyNumberFormat="1" applyFont="1" applyFill="1" applyBorder="1" applyAlignment="1" applyProtection="1">
      <alignment horizontal="center" vertical="center"/>
      <protection/>
    </xf>
    <xf numFmtId="3" fontId="16" fillId="0" borderId="66" xfId="85" applyNumberFormat="1" applyFont="1" applyFill="1" applyBorder="1" applyAlignment="1" applyProtection="1">
      <alignment horizontal="center" vertical="center" wrapText="1"/>
      <protection/>
    </xf>
    <xf numFmtId="3" fontId="16" fillId="0" borderId="23" xfId="85" applyNumberFormat="1" applyFont="1" applyFill="1" applyBorder="1" applyAlignment="1" applyProtection="1">
      <alignment horizontal="center" vertical="center"/>
      <protection/>
    </xf>
    <xf numFmtId="3" fontId="16" fillId="0" borderId="42" xfId="85" applyNumberFormat="1" applyFont="1" applyFill="1" applyBorder="1" applyAlignment="1" applyProtection="1">
      <alignment horizontal="center" vertical="center"/>
      <protection/>
    </xf>
    <xf numFmtId="3" fontId="16" fillId="0" borderId="23" xfId="85" applyNumberFormat="1" applyFont="1" applyFill="1" applyBorder="1" applyAlignment="1" applyProtection="1">
      <alignment vertical="center"/>
      <protection/>
    </xf>
    <xf numFmtId="3" fontId="16" fillId="0" borderId="23" xfId="85" applyNumberFormat="1" applyFont="1" applyFill="1" applyBorder="1" applyAlignment="1" applyProtection="1">
      <alignment horizontal="left" indent="1"/>
      <protection locked="0"/>
    </xf>
    <xf numFmtId="3" fontId="16" fillId="0" borderId="62" xfId="63" applyNumberFormat="1" applyFont="1" applyFill="1" applyBorder="1" applyAlignment="1">
      <alignment horizontal="center" vertical="center"/>
      <protection/>
    </xf>
    <xf numFmtId="3" fontId="16" fillId="0" borderId="102" xfId="63" applyNumberFormat="1" applyFont="1" applyFill="1" applyBorder="1" applyAlignment="1">
      <alignment horizontal="center" vertical="center"/>
      <protection/>
    </xf>
    <xf numFmtId="3" fontId="16" fillId="0" borderId="62" xfId="85" applyNumberFormat="1" applyFont="1" applyFill="1" applyBorder="1" applyAlignment="1" applyProtection="1">
      <alignment horizontal="center" vertical="center"/>
      <protection/>
    </xf>
    <xf numFmtId="3" fontId="16" fillId="0" borderId="42" xfId="63" applyNumberFormat="1" applyFont="1" applyFill="1" applyBorder="1" applyAlignment="1">
      <alignment horizontal="center" vertical="center"/>
      <protection/>
    </xf>
    <xf numFmtId="3" fontId="16" fillId="0" borderId="68" xfId="63" applyNumberFormat="1" applyFont="1" applyFill="1" applyBorder="1" applyAlignment="1">
      <alignment horizontal="center" vertical="center"/>
      <protection/>
    </xf>
    <xf numFmtId="3" fontId="16" fillId="0" borderId="22" xfId="63" applyNumberFormat="1" applyFont="1" applyFill="1" applyBorder="1" applyAlignment="1">
      <alignment horizontal="center" vertical="center"/>
      <protection/>
    </xf>
    <xf numFmtId="3" fontId="16" fillId="0" borderId="66" xfId="85" applyNumberFormat="1" applyFont="1" applyFill="1" applyBorder="1" applyAlignment="1" applyProtection="1">
      <alignment horizontal="left" vertical="center" indent="1"/>
      <protection/>
    </xf>
    <xf numFmtId="3" fontId="16" fillId="0" borderId="20" xfId="85" applyNumberFormat="1" applyFont="1" applyFill="1" applyBorder="1" applyAlignment="1" applyProtection="1">
      <alignment vertical="center"/>
      <protection/>
    </xf>
    <xf numFmtId="3" fontId="16" fillId="0" borderId="103" xfId="85" applyNumberFormat="1" applyFont="1" applyFill="1" applyBorder="1" applyAlignment="1" applyProtection="1">
      <alignment horizontal="left" vertical="center" indent="1"/>
      <protection/>
    </xf>
    <xf numFmtId="3" fontId="16" fillId="0" borderId="42" xfId="85" applyNumberFormat="1" applyFont="1" applyFill="1" applyBorder="1" applyAlignment="1" applyProtection="1">
      <alignment vertical="center"/>
      <protection/>
    </xf>
    <xf numFmtId="3" fontId="16" fillId="0" borderId="13" xfId="85" applyNumberFormat="1" applyFont="1" applyFill="1" applyBorder="1" applyAlignment="1" applyProtection="1">
      <alignment horizontal="left" vertical="center" indent="1"/>
      <protection/>
    </xf>
    <xf numFmtId="3" fontId="16" fillId="0" borderId="68" xfId="85" applyNumberFormat="1" applyFont="1" applyFill="1" applyBorder="1" applyAlignment="1" applyProtection="1">
      <alignment/>
      <protection/>
    </xf>
    <xf numFmtId="3" fontId="16" fillId="0" borderId="23" xfId="85" applyNumberFormat="1" applyFont="1" applyFill="1" applyBorder="1" applyAlignment="1" applyProtection="1">
      <alignment/>
      <protection/>
    </xf>
    <xf numFmtId="3" fontId="16" fillId="0" borderId="22" xfId="85" applyNumberFormat="1" applyFont="1" applyFill="1" applyBorder="1" applyAlignment="1" applyProtection="1">
      <alignment/>
      <protection/>
    </xf>
    <xf numFmtId="3" fontId="16" fillId="0" borderId="42" xfId="85" applyNumberFormat="1" applyFont="1" applyFill="1" applyBorder="1" applyAlignment="1" applyProtection="1">
      <alignment/>
      <protection/>
    </xf>
    <xf numFmtId="3" fontId="17" fillId="0" borderId="0" xfId="85" applyNumberFormat="1" applyFont="1" applyFill="1" applyProtection="1">
      <alignment/>
      <protection locked="0"/>
    </xf>
    <xf numFmtId="0" fontId="17" fillId="0" borderId="0" xfId="78" applyFont="1">
      <alignment/>
      <protection/>
    </xf>
    <xf numFmtId="3" fontId="17" fillId="0" borderId="0" xfId="78" applyNumberFormat="1" applyFont="1">
      <alignment/>
      <protection/>
    </xf>
    <xf numFmtId="3" fontId="26" fillId="0" borderId="0" xfId="85" applyNumberFormat="1" applyFont="1" applyFill="1" applyAlignment="1" applyProtection="1">
      <alignment horizontal="right"/>
      <protection/>
    </xf>
    <xf numFmtId="3" fontId="17" fillId="0" borderId="69" xfId="85" applyNumberFormat="1" applyFont="1" applyFill="1" applyBorder="1" applyAlignment="1" applyProtection="1">
      <alignment horizontal="left" vertical="center" indent="1"/>
      <protection/>
    </xf>
    <xf numFmtId="3" fontId="17" fillId="0" borderId="33" xfId="85" applyNumberFormat="1" applyFont="1" applyFill="1" applyBorder="1" applyAlignment="1" applyProtection="1">
      <alignment vertical="center"/>
      <protection locked="0"/>
    </xf>
    <xf numFmtId="3" fontId="16" fillId="0" borderId="103" xfId="63" applyNumberFormat="1" applyFont="1" applyFill="1" applyBorder="1" applyAlignment="1">
      <alignment horizontal="center" vertical="center"/>
      <protection/>
    </xf>
    <xf numFmtId="3" fontId="16" fillId="0" borderId="55" xfId="63" applyNumberFormat="1" applyFont="1" applyFill="1" applyBorder="1" applyAlignment="1">
      <alignment horizontal="center" vertical="center"/>
      <protection/>
    </xf>
    <xf numFmtId="3" fontId="16" fillId="0" borderId="23" xfId="63" applyNumberFormat="1" applyFont="1" applyFill="1" applyBorder="1" applyAlignment="1">
      <alignment horizontal="center" vertical="center"/>
      <protection/>
    </xf>
    <xf numFmtId="0" fontId="17" fillId="0" borderId="0" xfId="63" applyFont="1" applyAlignment="1">
      <alignment horizontal="center" vertical="center"/>
      <protection/>
    </xf>
    <xf numFmtId="0" fontId="21" fillId="0" borderId="0" xfId="0" applyFont="1" applyAlignment="1">
      <alignment horizontal="center" vertical="center"/>
    </xf>
    <xf numFmtId="3" fontId="22" fillId="0" borderId="63" xfId="0" applyNumberFormat="1" applyFont="1" applyBorder="1" applyAlignment="1">
      <alignment/>
    </xf>
    <xf numFmtId="183" fontId="20" fillId="0" borderId="108" xfId="0" applyNumberFormat="1" applyFont="1" applyBorder="1" applyAlignment="1">
      <alignment/>
    </xf>
    <xf numFmtId="183" fontId="22" fillId="0" borderId="108" xfId="0" applyNumberFormat="1" applyFont="1" applyBorder="1" applyAlignment="1">
      <alignment/>
    </xf>
    <xf numFmtId="183" fontId="20" fillId="0" borderId="109" xfId="0" applyNumberFormat="1" applyFont="1" applyBorder="1" applyAlignment="1">
      <alignment/>
    </xf>
    <xf numFmtId="183" fontId="20" fillId="0" borderId="57" xfId="0" applyNumberFormat="1" applyFont="1" applyBorder="1" applyAlignment="1">
      <alignment/>
    </xf>
    <xf numFmtId="183" fontId="20" fillId="0" borderId="107" xfId="0" applyNumberFormat="1" applyFont="1" applyBorder="1" applyAlignment="1">
      <alignment/>
    </xf>
    <xf numFmtId="183" fontId="22" fillId="0" borderId="107" xfId="0" applyNumberFormat="1" applyFont="1" applyBorder="1" applyAlignment="1">
      <alignment/>
    </xf>
    <xf numFmtId="183" fontId="20" fillId="0" borderId="58" xfId="0" applyNumberFormat="1" applyFont="1" applyBorder="1" applyAlignment="1">
      <alignment/>
    </xf>
    <xf numFmtId="3" fontId="22" fillId="0" borderId="110" xfId="0" applyNumberFormat="1" applyFont="1" applyBorder="1" applyAlignment="1">
      <alignment/>
    </xf>
    <xf numFmtId="3" fontId="21" fillId="0" borderId="110" xfId="0" applyNumberFormat="1" applyFont="1" applyBorder="1" applyAlignment="1">
      <alignment/>
    </xf>
    <xf numFmtId="3" fontId="21" fillId="0" borderId="63" xfId="0" applyNumberFormat="1" applyFont="1" applyBorder="1" applyAlignment="1">
      <alignment/>
    </xf>
    <xf numFmtId="3" fontId="20" fillId="0" borderId="111" xfId="0" applyNumberFormat="1" applyFont="1" applyBorder="1" applyAlignment="1">
      <alignment/>
    </xf>
    <xf numFmtId="3" fontId="22" fillId="5" borderId="59" xfId="0" applyNumberFormat="1" applyFont="1" applyFill="1" applyBorder="1" applyAlignment="1">
      <alignment/>
    </xf>
    <xf numFmtId="3" fontId="22" fillId="0" borderId="59" xfId="0" applyNumberFormat="1" applyFont="1" applyBorder="1" applyAlignment="1">
      <alignment/>
    </xf>
    <xf numFmtId="3" fontId="22" fillId="0" borderId="107" xfId="0" applyNumberFormat="1" applyFont="1" applyBorder="1" applyAlignment="1">
      <alignment/>
    </xf>
    <xf numFmtId="3" fontId="21" fillId="0" borderId="59" xfId="0" applyNumberFormat="1" applyFont="1" applyBorder="1" applyAlignment="1">
      <alignment/>
    </xf>
    <xf numFmtId="3" fontId="21" fillId="0" borderId="107" xfId="0" applyNumberFormat="1" applyFont="1" applyBorder="1" applyAlignment="1">
      <alignment/>
    </xf>
    <xf numFmtId="3" fontId="21" fillId="0" borderId="101" xfId="0" applyNumberFormat="1" applyFont="1" applyBorder="1" applyAlignment="1">
      <alignment/>
    </xf>
    <xf numFmtId="3" fontId="23" fillId="0" borderId="58" xfId="0" applyNumberFormat="1" applyFont="1" applyBorder="1" applyAlignment="1">
      <alignment/>
    </xf>
    <xf numFmtId="3" fontId="20" fillId="0" borderId="112" xfId="0" applyNumberFormat="1" applyFont="1" applyBorder="1" applyAlignment="1">
      <alignment/>
    </xf>
    <xf numFmtId="3" fontId="22" fillId="5" borderId="113" xfId="0" applyNumberFormat="1" applyFont="1" applyFill="1" applyBorder="1" applyAlignment="1">
      <alignment/>
    </xf>
    <xf numFmtId="3" fontId="22" fillId="0" borderId="113" xfId="0" applyNumberFormat="1" applyFont="1" applyBorder="1" applyAlignment="1">
      <alignment/>
    </xf>
    <xf numFmtId="3" fontId="22" fillId="0" borderId="108" xfId="0" applyNumberFormat="1" applyFont="1" applyBorder="1" applyAlignment="1">
      <alignment/>
    </xf>
    <xf numFmtId="3" fontId="21" fillId="0" borderId="113" xfId="0" applyNumberFormat="1" applyFont="1" applyBorder="1" applyAlignment="1">
      <alignment/>
    </xf>
    <xf numFmtId="3" fontId="21" fillId="0" borderId="108" xfId="0" applyNumberFormat="1" applyFont="1" applyBorder="1" applyAlignment="1">
      <alignment/>
    </xf>
    <xf numFmtId="3" fontId="21" fillId="0" borderId="114" xfId="0" applyNumberFormat="1" applyFont="1" applyBorder="1" applyAlignment="1">
      <alignment/>
    </xf>
    <xf numFmtId="3" fontId="23" fillId="0" borderId="109" xfId="0" applyNumberFormat="1" applyFont="1" applyBorder="1" applyAlignment="1">
      <alignment/>
    </xf>
    <xf numFmtId="3" fontId="20" fillId="0" borderId="20" xfId="0" applyNumberFormat="1" applyFont="1" applyBorder="1" applyAlignment="1">
      <alignment/>
    </xf>
    <xf numFmtId="3" fontId="20" fillId="0" borderId="57" xfId="0" applyNumberFormat="1" applyFont="1" applyBorder="1" applyAlignment="1">
      <alignment horizontal="center" vertical="center" wrapText="1"/>
    </xf>
    <xf numFmtId="3" fontId="6" fillId="0" borderId="0" xfId="83" applyNumberFormat="1" applyFont="1" applyFill="1" applyAlignment="1">
      <alignment/>
      <protection/>
    </xf>
    <xf numFmtId="0" fontId="9" fillId="0" borderId="0" xfId="63">
      <alignment/>
      <protection/>
    </xf>
    <xf numFmtId="183" fontId="20" fillId="0" borderId="20" xfId="0" applyNumberFormat="1" applyFont="1" applyBorder="1" applyAlignment="1">
      <alignment/>
    </xf>
    <xf numFmtId="3" fontId="20" fillId="0" borderId="115" xfId="0" applyNumberFormat="1" applyFont="1" applyBorder="1" applyAlignment="1">
      <alignment/>
    </xf>
    <xf numFmtId="3" fontId="20" fillId="0" borderId="116" xfId="0" applyNumberFormat="1" applyFont="1" applyBorder="1" applyAlignment="1">
      <alignment/>
    </xf>
    <xf numFmtId="3" fontId="20" fillId="0" borderId="114" xfId="0" applyNumberFormat="1" applyFont="1" applyBorder="1" applyAlignment="1">
      <alignment/>
    </xf>
    <xf numFmtId="3" fontId="20" fillId="0" borderId="57" xfId="0" applyNumberFormat="1" applyFont="1" applyBorder="1" applyAlignment="1">
      <alignment horizontal="center"/>
    </xf>
    <xf numFmtId="3" fontId="17" fillId="0" borderId="24" xfId="63" applyNumberFormat="1" applyFont="1" applyFill="1" applyBorder="1" applyAlignment="1" applyProtection="1">
      <alignment horizontal="right" vertical="center" wrapText="1"/>
      <protection locked="0"/>
    </xf>
    <xf numFmtId="3" fontId="26" fillId="0" borderId="24" xfId="63" applyNumberFormat="1" applyFont="1" applyFill="1" applyBorder="1" applyAlignment="1" applyProtection="1">
      <alignment horizontal="right" vertical="center" wrapText="1"/>
      <protection locked="0"/>
    </xf>
    <xf numFmtId="0" fontId="17" fillId="0" borderId="65" xfId="63" applyFont="1" applyFill="1" applyBorder="1" applyAlignment="1" applyProtection="1">
      <alignment horizontal="left" vertical="center" wrapText="1" indent="1"/>
      <protection locked="0"/>
    </xf>
    <xf numFmtId="3" fontId="17" fillId="0" borderId="14" xfId="63" applyNumberFormat="1" applyFont="1" applyFill="1" applyBorder="1" applyAlignment="1" applyProtection="1">
      <alignment horizontal="right" vertical="center" wrapText="1"/>
      <protection locked="0"/>
    </xf>
    <xf numFmtId="0" fontId="17" fillId="0" borderId="15" xfId="63" applyFont="1" applyFill="1" applyBorder="1" applyAlignment="1" applyProtection="1">
      <alignment horizontal="left" vertical="center" wrapText="1" indent="1"/>
      <protection locked="0"/>
    </xf>
    <xf numFmtId="3" fontId="16" fillId="0" borderId="23" xfId="63" applyNumberFormat="1" applyFont="1" applyFill="1" applyBorder="1" applyAlignment="1" applyProtection="1">
      <alignment horizontal="right" vertical="center" wrapText="1"/>
      <protection locked="0"/>
    </xf>
    <xf numFmtId="0" fontId="16" fillId="0" borderId="68" xfId="63" applyFont="1" applyFill="1" applyBorder="1" applyAlignment="1" applyProtection="1">
      <alignment horizontal="left" vertical="center" wrapText="1"/>
      <protection locked="0"/>
    </xf>
    <xf numFmtId="3" fontId="26" fillId="0" borderId="33" xfId="63" applyNumberFormat="1" applyFont="1" applyFill="1" applyBorder="1" applyAlignment="1">
      <alignment vertical="center" wrapText="1"/>
      <protection/>
    </xf>
    <xf numFmtId="3" fontId="17" fillId="0" borderId="33" xfId="63" applyNumberFormat="1" applyFont="1" applyFill="1" applyBorder="1" applyAlignment="1">
      <alignment vertical="center" wrapText="1"/>
      <protection/>
    </xf>
    <xf numFmtId="0" fontId="17" fillId="0" borderId="70" xfId="63" applyFont="1" applyFill="1" applyBorder="1" applyAlignment="1">
      <alignment horizontal="left" vertical="center" wrapText="1" indent="1"/>
      <protection/>
    </xf>
    <xf numFmtId="0" fontId="16" fillId="0" borderId="64" xfId="63" applyFont="1" applyFill="1" applyBorder="1" applyAlignment="1">
      <alignment horizontal="center" vertical="center" wrapText="1"/>
      <protection/>
    </xf>
    <xf numFmtId="3" fontId="16" fillId="0" borderId="115" xfId="63" applyNumberFormat="1" applyFont="1" applyFill="1" applyBorder="1" applyAlignment="1">
      <alignment horizontal="center" vertical="center" wrapText="1"/>
      <protection/>
    </xf>
    <xf numFmtId="0" fontId="16" fillId="0" borderId="73" xfId="63" applyFont="1" applyFill="1" applyBorder="1" applyAlignment="1" applyProtection="1">
      <alignment horizontal="left" vertical="center" wrapText="1"/>
      <protection locked="0"/>
    </xf>
    <xf numFmtId="3" fontId="16" fillId="0" borderId="40" xfId="63" applyNumberFormat="1" applyFont="1" applyFill="1" applyBorder="1" applyAlignment="1" applyProtection="1">
      <alignment horizontal="right" vertical="center" wrapText="1"/>
      <protection locked="0"/>
    </xf>
    <xf numFmtId="0" fontId="16" fillId="0" borderId="0" xfId="63" applyFont="1" applyFill="1" applyAlignment="1">
      <alignment horizontal="center" vertical="center"/>
      <protection/>
    </xf>
    <xf numFmtId="0" fontId="16" fillId="0" borderId="0" xfId="63" applyFont="1" applyFill="1" applyAlignment="1">
      <alignment horizontal="centerContinuous" vertical="center"/>
      <protection/>
    </xf>
    <xf numFmtId="49" fontId="16" fillId="0" borderId="57" xfId="63" applyNumberFormat="1" applyFont="1" applyFill="1" applyBorder="1" applyAlignment="1">
      <alignment horizontal="center" vertical="center" wrapText="1"/>
      <protection/>
    </xf>
    <xf numFmtId="0" fontId="16" fillId="0" borderId="68" xfId="63" applyFont="1" applyFill="1" applyBorder="1" applyAlignment="1">
      <alignment horizontal="center" vertical="center" wrapText="1"/>
      <protection/>
    </xf>
    <xf numFmtId="0" fontId="16" fillId="0" borderId="23" xfId="63" applyFont="1" applyFill="1" applyBorder="1" applyAlignment="1">
      <alignment horizontal="center" vertical="center" wrapText="1"/>
      <protection/>
    </xf>
    <xf numFmtId="49" fontId="26" fillId="0" borderId="69" xfId="63" applyNumberFormat="1" applyFont="1" applyFill="1" applyBorder="1" applyAlignment="1">
      <alignment horizontal="center" vertical="center" wrapText="1"/>
      <protection/>
    </xf>
    <xf numFmtId="49" fontId="17" fillId="0" borderId="18" xfId="63" applyNumberFormat="1" applyFont="1" applyFill="1" applyBorder="1" applyAlignment="1">
      <alignment horizontal="center" vertical="center" wrapText="1"/>
      <protection/>
    </xf>
    <xf numFmtId="49" fontId="26" fillId="0" borderId="17" xfId="63" applyNumberFormat="1" applyFont="1" applyFill="1" applyBorder="1" applyAlignment="1">
      <alignment horizontal="center" vertical="center" wrapText="1"/>
      <protection/>
    </xf>
    <xf numFmtId="0" fontId="6" fillId="0" borderId="0" xfId="63" applyFont="1" applyFill="1" applyAlignment="1">
      <alignment horizontal="right"/>
      <protection/>
    </xf>
    <xf numFmtId="0" fontId="16" fillId="0" borderId="66" xfId="63" applyFont="1" applyFill="1" applyBorder="1" applyAlignment="1">
      <alignment horizontal="center" vertical="center"/>
      <protection/>
    </xf>
    <xf numFmtId="0" fontId="17" fillId="0" borderId="106" xfId="63" applyFont="1" applyFill="1" applyBorder="1" applyAlignment="1">
      <alignment horizontal="center" vertical="center"/>
      <protection/>
    </xf>
    <xf numFmtId="0" fontId="26" fillId="0" borderId="70" xfId="63" applyFont="1" applyFill="1" applyBorder="1" applyAlignment="1">
      <alignment horizontal="left" vertical="center" wrapText="1" indent="3"/>
      <protection/>
    </xf>
    <xf numFmtId="0" fontId="17" fillId="0" borderId="70" xfId="63" applyFont="1" applyFill="1" applyBorder="1" applyAlignment="1">
      <alignment horizontal="left" vertical="center" wrapText="1" indent="2"/>
      <protection/>
    </xf>
    <xf numFmtId="0" fontId="17" fillId="0" borderId="65" xfId="63" applyFont="1" applyFill="1" applyBorder="1" applyAlignment="1" applyProtection="1">
      <alignment horizontal="left" vertical="center" wrapText="1" indent="2"/>
      <protection locked="0"/>
    </xf>
    <xf numFmtId="0" fontId="26" fillId="0" borderId="65" xfId="63" applyFont="1" applyFill="1" applyBorder="1" applyAlignment="1" applyProtection="1">
      <alignment horizontal="left" vertical="center" wrapText="1" indent="3"/>
      <protection locked="0"/>
    </xf>
    <xf numFmtId="0" fontId="17" fillId="0" borderId="15" xfId="63" applyFont="1" applyFill="1" applyBorder="1" applyAlignment="1" applyProtection="1">
      <alignment horizontal="left" vertical="center" wrapText="1" indent="2"/>
      <protection locked="0"/>
    </xf>
    <xf numFmtId="0" fontId="26" fillId="0" borderId="65" xfId="63" applyFont="1" applyFill="1" applyBorder="1" applyAlignment="1" applyProtection="1">
      <alignment horizontal="left" vertical="center" wrapText="1" indent="1"/>
      <protection locked="0"/>
    </xf>
    <xf numFmtId="0" fontId="15" fillId="0" borderId="66" xfId="63" applyFont="1" applyFill="1" applyBorder="1" applyAlignment="1">
      <alignment horizontal="center" vertical="center"/>
      <protection/>
    </xf>
    <xf numFmtId="0" fontId="15" fillId="0" borderId="68" xfId="63" applyFont="1" applyFill="1" applyBorder="1" applyAlignment="1" applyProtection="1">
      <alignment horizontal="left" vertical="center" wrapText="1"/>
      <protection locked="0"/>
    </xf>
    <xf numFmtId="3" fontId="15" fillId="0" borderId="23" xfId="63" applyNumberFormat="1" applyFont="1" applyFill="1" applyBorder="1" applyAlignment="1" applyProtection="1">
      <alignment horizontal="right" vertical="center" wrapText="1"/>
      <protection locked="0"/>
    </xf>
    <xf numFmtId="0" fontId="16" fillId="0" borderId="66" xfId="63" applyFont="1" applyFill="1" applyBorder="1" applyAlignment="1">
      <alignment horizontal="center" vertical="center" wrapText="1"/>
      <protection/>
    </xf>
    <xf numFmtId="49" fontId="17" fillId="0" borderId="106" xfId="63" applyNumberFormat="1" applyFont="1" applyFill="1" applyBorder="1" applyAlignment="1">
      <alignment horizontal="center" vertical="center" wrapText="1"/>
      <protection/>
    </xf>
    <xf numFmtId="0" fontId="17" fillId="0" borderId="73" xfId="63" applyFont="1" applyFill="1" applyBorder="1" applyAlignment="1">
      <alignment horizontal="left" vertical="center" wrapText="1" indent="1"/>
      <protection/>
    </xf>
    <xf numFmtId="3" fontId="17" fillId="0" borderId="40" xfId="63" applyNumberFormat="1" applyFont="1" applyFill="1" applyBorder="1" applyAlignment="1">
      <alignment vertical="center" wrapText="1"/>
      <protection/>
    </xf>
    <xf numFmtId="0" fontId="17" fillId="0" borderId="0" xfId="0" applyFont="1" applyFill="1" applyAlignment="1">
      <alignment/>
    </xf>
    <xf numFmtId="185" fontId="16" fillId="23" borderId="22" xfId="63" applyNumberFormat="1" applyFont="1" applyFill="1" applyBorder="1" applyAlignment="1" applyProtection="1">
      <alignment horizontal="center" vertical="center" wrapText="1"/>
      <protection/>
    </xf>
    <xf numFmtId="185" fontId="16" fillId="0" borderId="66" xfId="63" applyNumberFormat="1" applyFont="1" applyFill="1" applyBorder="1" applyAlignment="1" applyProtection="1">
      <alignment vertical="center" wrapText="1"/>
      <protection locked="0"/>
    </xf>
    <xf numFmtId="3" fontId="17" fillId="0" borderId="24" xfId="63" applyNumberFormat="1" applyFont="1" applyFill="1" applyBorder="1" applyAlignment="1" applyProtection="1">
      <alignment vertical="center" wrapText="1"/>
      <protection/>
    </xf>
    <xf numFmtId="3" fontId="17" fillId="0" borderId="51" xfId="63" applyNumberFormat="1" applyFont="1" applyFill="1" applyBorder="1" applyAlignment="1" applyProtection="1">
      <alignment vertical="center" wrapText="1"/>
      <protection locked="0"/>
    </xf>
    <xf numFmtId="14" fontId="17" fillId="0" borderId="10" xfId="63" applyNumberFormat="1" applyFont="1" applyFill="1" applyBorder="1" applyAlignment="1" applyProtection="1">
      <alignment horizontal="center" vertical="center" wrapText="1"/>
      <protection locked="0"/>
    </xf>
    <xf numFmtId="185" fontId="16" fillId="0" borderId="0" xfId="63" applyNumberFormat="1" applyFont="1" applyFill="1" applyBorder="1" applyAlignment="1" applyProtection="1">
      <alignment horizontal="center" vertical="center" wrapText="1"/>
      <protection/>
    </xf>
    <xf numFmtId="185" fontId="16" fillId="0" borderId="73" xfId="63" applyNumberFormat="1" applyFont="1" applyFill="1" applyBorder="1" applyAlignment="1" applyProtection="1">
      <alignment horizontal="center" vertical="center" wrapText="1"/>
      <protection/>
    </xf>
    <xf numFmtId="185" fontId="16" fillId="0" borderId="39" xfId="63" applyNumberFormat="1" applyFont="1" applyFill="1" applyBorder="1" applyAlignment="1" applyProtection="1">
      <alignment horizontal="center" vertical="center" wrapText="1"/>
      <protection/>
    </xf>
    <xf numFmtId="185" fontId="16" fillId="0" borderId="106" xfId="63" applyNumberFormat="1" applyFont="1" applyFill="1" applyBorder="1" applyAlignment="1" applyProtection="1">
      <alignment vertical="center" wrapText="1"/>
      <protection/>
    </xf>
    <xf numFmtId="185" fontId="16" fillId="0" borderId="36" xfId="63" applyNumberFormat="1" applyFont="1" applyFill="1" applyBorder="1" applyAlignment="1" applyProtection="1">
      <alignment horizontal="center" vertical="center" wrapText="1"/>
      <protection/>
    </xf>
    <xf numFmtId="185" fontId="16" fillId="0" borderId="104" xfId="63" applyNumberFormat="1" applyFont="1" applyFill="1" applyBorder="1" applyAlignment="1" applyProtection="1">
      <alignment horizontal="center" vertical="center" wrapText="1"/>
      <protection/>
    </xf>
    <xf numFmtId="185" fontId="16" fillId="0" borderId="35" xfId="63" applyNumberFormat="1" applyFont="1" applyFill="1" applyBorder="1" applyAlignment="1" applyProtection="1">
      <alignment horizontal="center" vertical="center" wrapText="1"/>
      <protection/>
    </xf>
    <xf numFmtId="185" fontId="16" fillId="0" borderId="117" xfId="63" applyNumberFormat="1" applyFont="1" applyFill="1" applyBorder="1" applyAlignment="1" applyProtection="1">
      <alignment horizontal="center" vertical="center" wrapText="1"/>
      <protection/>
    </xf>
    <xf numFmtId="185" fontId="16" fillId="0" borderId="66" xfId="63" applyNumberFormat="1" applyFont="1" applyFill="1" applyBorder="1" applyAlignment="1">
      <alignment horizontal="center" vertical="center" wrapText="1"/>
      <protection/>
    </xf>
    <xf numFmtId="185" fontId="16" fillId="0" borderId="22" xfId="63" applyNumberFormat="1" applyFont="1" applyFill="1" applyBorder="1" applyAlignment="1">
      <alignment horizontal="center" vertical="center" wrapText="1"/>
      <protection/>
    </xf>
    <xf numFmtId="185" fontId="16" fillId="0" borderId="68" xfId="63" applyNumberFormat="1" applyFont="1" applyFill="1" applyBorder="1" applyAlignment="1">
      <alignment horizontal="center" vertical="center" wrapText="1"/>
      <protection/>
    </xf>
    <xf numFmtId="185" fontId="16" fillId="0" borderId="23" xfId="63" applyNumberFormat="1" applyFont="1" applyFill="1" applyBorder="1" applyAlignment="1" applyProtection="1">
      <alignment horizontal="center" vertical="center" wrapText="1"/>
      <protection/>
    </xf>
    <xf numFmtId="3" fontId="16" fillId="0" borderId="49" xfId="63" applyNumberFormat="1" applyFont="1" applyFill="1" applyBorder="1" applyAlignment="1" applyProtection="1">
      <alignment vertical="center" wrapText="1"/>
      <protection locked="0"/>
    </xf>
    <xf numFmtId="185" fontId="16" fillId="0" borderId="18" xfId="63" applyNumberFormat="1" applyFont="1" applyFill="1" applyBorder="1" applyAlignment="1" applyProtection="1">
      <alignment vertical="center" wrapText="1"/>
      <protection locked="0"/>
    </xf>
    <xf numFmtId="14" fontId="17" fillId="0" borderId="16" xfId="63" applyNumberFormat="1" applyFont="1" applyFill="1" applyBorder="1" applyAlignment="1" applyProtection="1">
      <alignment horizontal="center" vertical="center" wrapText="1"/>
      <protection locked="0"/>
    </xf>
    <xf numFmtId="3" fontId="17" fillId="0" borderId="15" xfId="63" applyNumberFormat="1" applyFont="1" applyFill="1" applyBorder="1" applyAlignment="1" applyProtection="1">
      <alignment vertical="center" wrapText="1"/>
      <protection locked="0"/>
    </xf>
    <xf numFmtId="3" fontId="17" fillId="0" borderId="25" xfId="63" applyNumberFormat="1" applyFont="1" applyFill="1" applyBorder="1" applyAlignment="1" applyProtection="1">
      <alignment vertical="center" wrapText="1"/>
      <protection locked="0"/>
    </xf>
    <xf numFmtId="3" fontId="17" fillId="0" borderId="14" xfId="63" applyNumberFormat="1" applyFont="1" applyFill="1" applyBorder="1" applyAlignment="1" applyProtection="1">
      <alignment vertical="center" wrapText="1"/>
      <protection/>
    </xf>
    <xf numFmtId="185" fontId="15" fillId="0" borderId="117" xfId="63" applyNumberFormat="1" applyFont="1" applyFill="1" applyBorder="1" applyAlignment="1" applyProtection="1">
      <alignment vertical="center" wrapText="1"/>
      <protection locked="0"/>
    </xf>
    <xf numFmtId="3" fontId="15" fillId="0" borderId="35" xfId="63" applyNumberFormat="1" applyFont="1" applyFill="1" applyBorder="1" applyAlignment="1" applyProtection="1">
      <alignment vertical="center" wrapText="1"/>
      <protection locked="0"/>
    </xf>
    <xf numFmtId="14" fontId="15" fillId="0" borderId="35" xfId="63" applyNumberFormat="1" applyFont="1" applyFill="1" applyBorder="1" applyAlignment="1" applyProtection="1">
      <alignment horizontal="center" vertical="center" wrapText="1"/>
      <protection locked="0"/>
    </xf>
    <xf numFmtId="3" fontId="15" fillId="0" borderId="104" xfId="63" applyNumberFormat="1" applyFont="1" applyFill="1" applyBorder="1" applyAlignment="1" applyProtection="1">
      <alignment vertical="center" wrapText="1"/>
      <protection locked="0"/>
    </xf>
    <xf numFmtId="3" fontId="15" fillId="0" borderId="52" xfId="63" applyNumberFormat="1" applyFont="1" applyFill="1" applyBorder="1" applyAlignment="1" applyProtection="1">
      <alignment vertical="center" wrapText="1"/>
      <protection locked="0"/>
    </xf>
    <xf numFmtId="3" fontId="15" fillId="0" borderId="36" xfId="63" applyNumberFormat="1" applyFont="1" applyFill="1" applyBorder="1" applyAlignment="1" applyProtection="1">
      <alignment vertical="center" wrapText="1"/>
      <protection/>
    </xf>
    <xf numFmtId="3" fontId="16" fillId="0" borderId="104" xfId="63" applyNumberFormat="1" applyFont="1" applyFill="1" applyBorder="1" applyAlignment="1" applyProtection="1">
      <alignment vertical="center" wrapText="1"/>
      <protection/>
    </xf>
    <xf numFmtId="3" fontId="16" fillId="0" borderId="36" xfId="63" applyNumberFormat="1" applyFont="1" applyFill="1" applyBorder="1" applyAlignment="1" applyProtection="1">
      <alignment vertical="center" wrapText="1"/>
      <protection/>
    </xf>
    <xf numFmtId="3" fontId="16" fillId="0" borderId="52" xfId="63" applyNumberFormat="1" applyFont="1" applyFill="1" applyBorder="1" applyAlignment="1" applyProtection="1">
      <alignment vertical="center" wrapText="1"/>
      <protection/>
    </xf>
    <xf numFmtId="185" fontId="17" fillId="0" borderId="49" xfId="63" applyNumberFormat="1" applyFont="1" applyFill="1" applyBorder="1" applyAlignment="1">
      <alignment vertical="center" wrapText="1"/>
      <protection/>
    </xf>
    <xf numFmtId="185" fontId="10" fillId="0" borderId="0" xfId="63" applyNumberFormat="1" applyFont="1" applyFill="1" applyAlignment="1">
      <alignment horizontal="center" vertical="center" wrapText="1"/>
      <protection/>
    </xf>
    <xf numFmtId="185" fontId="10" fillId="0" borderId="0" xfId="63" applyNumberFormat="1" applyFont="1" applyFill="1" applyAlignment="1">
      <alignment vertical="center" wrapText="1"/>
      <protection/>
    </xf>
    <xf numFmtId="3" fontId="17" fillId="0" borderId="49" xfId="63" applyNumberFormat="1" applyFont="1" applyFill="1" applyBorder="1" applyAlignment="1" applyProtection="1">
      <alignment vertical="center" wrapText="1"/>
      <protection/>
    </xf>
    <xf numFmtId="185" fontId="16" fillId="0" borderId="21" xfId="63" applyNumberFormat="1" applyFont="1" applyFill="1" applyBorder="1" applyAlignment="1">
      <alignment horizontal="center" vertical="center" wrapText="1"/>
      <protection/>
    </xf>
    <xf numFmtId="185" fontId="16" fillId="0" borderId="34" xfId="63" applyNumberFormat="1" applyFont="1" applyFill="1" applyBorder="1" applyAlignment="1" applyProtection="1">
      <alignment horizontal="center" vertical="center" wrapText="1"/>
      <protection/>
    </xf>
    <xf numFmtId="185" fontId="16" fillId="0" borderId="42" xfId="63" applyNumberFormat="1" applyFont="1" applyFill="1" applyBorder="1" applyAlignment="1" applyProtection="1">
      <alignment horizontal="center" vertical="center" wrapText="1"/>
      <protection/>
    </xf>
    <xf numFmtId="185" fontId="16" fillId="0" borderId="56" xfId="63" applyNumberFormat="1" applyFont="1" applyFill="1" applyBorder="1" applyAlignment="1" applyProtection="1">
      <alignment horizontal="center" vertical="center" wrapText="1"/>
      <protection/>
    </xf>
    <xf numFmtId="3" fontId="17" fillId="0" borderId="37" xfId="63" applyNumberFormat="1" applyFont="1" applyFill="1" applyBorder="1" applyAlignment="1" applyProtection="1">
      <alignment vertical="center" wrapText="1"/>
      <protection locked="0"/>
    </xf>
    <xf numFmtId="3" fontId="15" fillId="0" borderId="43" xfId="63" applyNumberFormat="1" applyFont="1" applyFill="1" applyBorder="1" applyAlignment="1" applyProtection="1">
      <alignment vertical="center" wrapText="1"/>
      <protection locked="0"/>
    </xf>
    <xf numFmtId="3" fontId="16" fillId="0" borderId="43" xfId="63" applyNumberFormat="1" applyFont="1" applyFill="1" applyBorder="1" applyAlignment="1" applyProtection="1">
      <alignment vertical="center" wrapText="1"/>
      <protection/>
    </xf>
    <xf numFmtId="3" fontId="16" fillId="0" borderId="40" xfId="63" applyNumberFormat="1" applyFont="1" applyFill="1" applyBorder="1" applyAlignment="1" applyProtection="1">
      <alignment vertical="center" wrapText="1"/>
      <protection/>
    </xf>
    <xf numFmtId="3" fontId="16" fillId="0" borderId="55" xfId="63" applyNumberFormat="1" applyFont="1" applyFill="1" applyBorder="1" applyAlignment="1" applyProtection="1">
      <alignment vertical="center" wrapText="1"/>
      <protection/>
    </xf>
    <xf numFmtId="185" fontId="16" fillId="23" borderId="55" xfId="63" applyNumberFormat="1" applyFont="1" applyFill="1" applyBorder="1" applyAlignment="1" applyProtection="1">
      <alignment horizontal="center" vertical="center" wrapText="1"/>
      <protection/>
    </xf>
    <xf numFmtId="185" fontId="16" fillId="0" borderId="45" xfId="63" applyNumberFormat="1" applyFont="1" applyFill="1" applyBorder="1" applyAlignment="1" applyProtection="1">
      <alignment horizontal="center" vertical="center" wrapText="1"/>
      <protection/>
    </xf>
    <xf numFmtId="185" fontId="16" fillId="0" borderId="64" xfId="63" applyNumberFormat="1" applyFont="1" applyFill="1" applyBorder="1" applyAlignment="1" applyProtection="1">
      <alignment horizontal="center" vertical="center" wrapText="1"/>
      <protection/>
    </xf>
    <xf numFmtId="185" fontId="16" fillId="0" borderId="27" xfId="63" applyNumberFormat="1" applyFont="1" applyFill="1" applyBorder="1" applyAlignment="1" applyProtection="1">
      <alignment horizontal="center" vertical="center" wrapText="1"/>
      <protection/>
    </xf>
    <xf numFmtId="185" fontId="16" fillId="0" borderId="54" xfId="63" applyNumberFormat="1" applyFont="1" applyFill="1" applyBorder="1" applyAlignment="1" applyProtection="1">
      <alignment horizontal="center" vertical="center" wrapText="1"/>
      <protection/>
    </xf>
    <xf numFmtId="3" fontId="16" fillId="0" borderId="46" xfId="63" applyNumberFormat="1" applyFont="1" applyFill="1" applyBorder="1" applyAlignment="1" applyProtection="1">
      <alignment vertical="center" wrapText="1"/>
      <protection/>
    </xf>
    <xf numFmtId="185" fontId="17" fillId="0" borderId="17" xfId="63" applyNumberFormat="1" applyFont="1" applyFill="1" applyBorder="1" applyAlignment="1" applyProtection="1">
      <alignment vertical="center" wrapText="1"/>
      <protection locked="0"/>
    </xf>
    <xf numFmtId="185" fontId="16" fillId="0" borderId="117" xfId="63" applyNumberFormat="1" applyFont="1" applyFill="1" applyBorder="1" applyAlignment="1">
      <alignment vertical="center" wrapText="1"/>
      <protection/>
    </xf>
    <xf numFmtId="185" fontId="16" fillId="0" borderId="55" xfId="63" applyNumberFormat="1" applyFont="1" applyFill="1" applyBorder="1" applyAlignment="1">
      <alignment vertical="center" wrapText="1"/>
      <protection/>
    </xf>
    <xf numFmtId="185" fontId="16" fillId="0" borderId="67" xfId="63" applyNumberFormat="1" applyFont="1" applyFill="1" applyBorder="1" applyAlignment="1" applyProtection="1">
      <alignment vertical="center" wrapText="1"/>
      <protection/>
    </xf>
    <xf numFmtId="0" fontId="16" fillId="0" borderId="56" xfId="63" applyFont="1" applyBorder="1" applyAlignment="1">
      <alignment horizontal="center" vertical="center" wrapText="1"/>
      <protection/>
    </xf>
    <xf numFmtId="0" fontId="17" fillId="0" borderId="17" xfId="63" applyFont="1" applyBorder="1" applyAlignment="1">
      <alignment horizontal="center" vertical="center"/>
      <protection/>
    </xf>
    <xf numFmtId="0" fontId="6" fillId="0" borderId="0" xfId="63" applyFont="1" applyAlignment="1">
      <alignment horizontal="center"/>
      <protection/>
    </xf>
    <xf numFmtId="3" fontId="17" fillId="0" borderId="37" xfId="63" applyNumberFormat="1" applyFont="1" applyBorder="1" applyAlignment="1" applyProtection="1">
      <alignment vertical="center"/>
      <protection locked="0"/>
    </xf>
    <xf numFmtId="3" fontId="17" fillId="0" borderId="30" xfId="63" applyNumberFormat="1" applyFont="1" applyBorder="1" applyAlignment="1" applyProtection="1">
      <alignment vertical="center"/>
      <protection locked="0"/>
    </xf>
    <xf numFmtId="3" fontId="17" fillId="0" borderId="28" xfId="63" applyNumberFormat="1" applyFont="1" applyBorder="1" applyAlignment="1" applyProtection="1">
      <alignment vertical="center"/>
      <protection locked="0"/>
    </xf>
    <xf numFmtId="0" fontId="17" fillId="0" borderId="15" xfId="63" applyFont="1" applyBorder="1" applyAlignment="1" applyProtection="1">
      <alignment horizontal="left" vertical="center" indent="1"/>
      <protection locked="0"/>
    </xf>
    <xf numFmtId="0" fontId="17" fillId="0" borderId="16" xfId="63" applyFont="1" applyBorder="1" applyAlignment="1" applyProtection="1">
      <alignment horizontal="left" vertical="center" indent="1"/>
      <protection locked="0"/>
    </xf>
    <xf numFmtId="0" fontId="17" fillId="0" borderId="70" xfId="63" applyFont="1" applyBorder="1" applyAlignment="1" applyProtection="1">
      <alignment horizontal="left" vertical="center" indent="1"/>
      <protection locked="0"/>
    </xf>
    <xf numFmtId="0" fontId="17" fillId="0" borderId="65" xfId="63" applyFont="1" applyBorder="1" applyAlignment="1" applyProtection="1">
      <alignment horizontal="left" vertical="center" indent="1"/>
      <protection locked="0"/>
    </xf>
    <xf numFmtId="0" fontId="17" fillId="0" borderId="0" xfId="63" applyFont="1" applyBorder="1" applyAlignment="1">
      <alignment horizontal="center" wrapText="1"/>
      <protection/>
    </xf>
    <xf numFmtId="0" fontId="16" fillId="0" borderId="66" xfId="63" applyFont="1" applyBorder="1" applyAlignment="1">
      <alignment horizontal="center" vertical="center" wrapText="1"/>
      <protection/>
    </xf>
    <xf numFmtId="0" fontId="16" fillId="0" borderId="49" xfId="63" applyFont="1" applyBorder="1" applyAlignment="1">
      <alignment vertical="center"/>
      <protection/>
    </xf>
    <xf numFmtId="0" fontId="16" fillId="0" borderId="106" xfId="63" applyFont="1" applyBorder="1" applyAlignment="1">
      <alignment horizontal="center" vertical="center" wrapText="1"/>
      <protection/>
    </xf>
    <xf numFmtId="0" fontId="16" fillId="0" borderId="68" xfId="63" applyFont="1" applyBorder="1" applyAlignment="1">
      <alignment horizontal="center" vertical="center"/>
      <protection/>
    </xf>
    <xf numFmtId="0" fontId="16" fillId="0" borderId="54" xfId="63" applyFont="1" applyBorder="1" applyAlignment="1">
      <alignment vertical="center"/>
      <protection/>
    </xf>
    <xf numFmtId="0" fontId="16" fillId="0" borderId="73" xfId="63" applyFont="1" applyBorder="1" applyAlignment="1">
      <alignment horizontal="center" vertical="center"/>
      <protection/>
    </xf>
    <xf numFmtId="0" fontId="17" fillId="0" borderId="69" xfId="63" applyFont="1" applyBorder="1" applyAlignment="1">
      <alignment horizontal="center" vertical="center"/>
      <protection/>
    </xf>
    <xf numFmtId="0" fontId="17" fillId="0" borderId="18" xfId="63" applyFont="1" applyBorder="1" applyAlignment="1">
      <alignment horizontal="center" vertical="center"/>
      <protection/>
    </xf>
    <xf numFmtId="0" fontId="16" fillId="0" borderId="73" xfId="63" applyFont="1" applyBorder="1" applyAlignment="1">
      <alignment vertical="center"/>
      <protection/>
    </xf>
    <xf numFmtId="0" fontId="16" fillId="0" borderId="56" xfId="63" applyFont="1" applyBorder="1" applyAlignment="1">
      <alignment vertical="center" wrapText="1"/>
      <protection/>
    </xf>
    <xf numFmtId="0" fontId="16" fillId="0" borderId="21" xfId="63" applyFont="1" applyBorder="1" applyAlignment="1">
      <alignment horizontal="center" vertical="center"/>
      <protection/>
    </xf>
    <xf numFmtId="0" fontId="16" fillId="0" borderId="38" xfId="63" applyFont="1" applyBorder="1" applyAlignment="1">
      <alignment vertical="center"/>
      <protection/>
    </xf>
    <xf numFmtId="0" fontId="17" fillId="0" borderId="26" xfId="63" applyFont="1" applyBorder="1" applyAlignment="1" applyProtection="1">
      <alignment horizontal="left" vertical="center" indent="1"/>
      <protection locked="0"/>
    </xf>
    <xf numFmtId="0" fontId="17" fillId="0" borderId="31" xfId="63" applyFont="1" applyBorder="1" applyAlignment="1" applyProtection="1">
      <alignment horizontal="left" vertical="center" indent="1"/>
      <protection locked="0"/>
    </xf>
    <xf numFmtId="0" fontId="17" fillId="0" borderId="25" xfId="63" applyFont="1" applyBorder="1" applyAlignment="1" applyProtection="1">
      <alignment horizontal="left" vertical="center" indent="1"/>
      <protection locked="0"/>
    </xf>
    <xf numFmtId="0" fontId="17" fillId="0" borderId="26" xfId="63" applyFont="1" applyFill="1" applyBorder="1" applyAlignment="1" applyProtection="1">
      <alignment horizontal="left" vertical="center" indent="1"/>
      <protection locked="0"/>
    </xf>
    <xf numFmtId="0" fontId="16" fillId="0" borderId="66" xfId="63" applyFont="1" applyBorder="1" applyAlignment="1">
      <alignment horizontal="center"/>
      <protection/>
    </xf>
    <xf numFmtId="0" fontId="16" fillId="0" borderId="67" xfId="63" applyFont="1" applyBorder="1" applyAlignment="1">
      <alignment horizontal="center"/>
      <protection/>
    </xf>
    <xf numFmtId="0" fontId="16" fillId="0" borderId="66" xfId="63" applyFont="1" applyBorder="1" applyAlignment="1">
      <alignment horizontal="center" vertical="center"/>
      <protection/>
    </xf>
    <xf numFmtId="0" fontId="17" fillId="0" borderId="66" xfId="63" applyFont="1" applyBorder="1" applyAlignment="1">
      <alignment horizontal="center"/>
      <protection/>
    </xf>
    <xf numFmtId="0" fontId="16" fillId="0" borderId="22" xfId="63" applyFont="1" applyBorder="1" applyAlignment="1">
      <alignment vertical="center"/>
      <protection/>
    </xf>
    <xf numFmtId="0" fontId="16" fillId="0" borderId="45" xfId="63" applyFont="1" applyBorder="1" applyAlignment="1">
      <alignment vertical="center"/>
      <protection/>
    </xf>
    <xf numFmtId="0" fontId="17" fillId="0" borderId="50" xfId="63" applyFont="1" applyBorder="1" applyAlignment="1" applyProtection="1">
      <alignment horizontal="left" vertical="center" indent="1"/>
      <protection locked="0"/>
    </xf>
    <xf numFmtId="0" fontId="16" fillId="0" borderId="18" xfId="63" applyFont="1" applyBorder="1" applyAlignment="1">
      <alignment horizontal="center"/>
      <protection/>
    </xf>
    <xf numFmtId="0" fontId="16" fillId="0" borderId="16" xfId="63" applyFont="1" applyBorder="1" applyAlignment="1">
      <alignment vertical="center"/>
      <protection/>
    </xf>
    <xf numFmtId="0" fontId="16" fillId="0" borderId="50" xfId="63" applyFont="1" applyBorder="1" applyAlignment="1">
      <alignment vertical="center"/>
      <protection/>
    </xf>
    <xf numFmtId="3" fontId="16" fillId="0" borderId="37" xfId="63" applyNumberFormat="1" applyFont="1" applyFill="1" applyBorder="1" applyAlignment="1">
      <alignment vertical="center"/>
      <protection/>
    </xf>
    <xf numFmtId="0" fontId="17" fillId="0" borderId="67" xfId="63" applyFont="1" applyBorder="1" applyAlignment="1">
      <alignment horizontal="center"/>
      <protection/>
    </xf>
    <xf numFmtId="3" fontId="29" fillId="0" borderId="0" xfId="0" applyNumberFormat="1" applyFont="1" applyAlignment="1">
      <alignment/>
    </xf>
    <xf numFmtId="3" fontId="16" fillId="0" borderId="23" xfId="83" applyNumberFormat="1" applyFont="1" applyFill="1" applyBorder="1" applyAlignment="1" applyProtection="1">
      <alignment horizontal="center" vertical="center" wrapText="1"/>
      <protection/>
    </xf>
    <xf numFmtId="3" fontId="10" fillId="0" borderId="0" xfId="63" applyNumberFormat="1" applyFont="1" applyFill="1" applyAlignment="1">
      <alignment vertical="center" wrapText="1"/>
      <protection/>
    </xf>
    <xf numFmtId="3" fontId="6" fillId="0" borderId="0" xfId="63" applyNumberFormat="1" applyFont="1" applyFill="1" applyAlignment="1">
      <alignment horizontal="right" vertical="center" wrapText="1"/>
      <protection/>
    </xf>
    <xf numFmtId="3" fontId="17" fillId="0" borderId="67" xfId="63" applyNumberFormat="1" applyFont="1" applyFill="1" applyBorder="1" applyAlignment="1">
      <alignment vertical="center" wrapText="1"/>
      <protection/>
    </xf>
    <xf numFmtId="3" fontId="17" fillId="0" borderId="45" xfId="63" applyNumberFormat="1" applyFont="1" applyFill="1" applyBorder="1" applyAlignment="1">
      <alignment vertical="center" wrapText="1"/>
      <protection/>
    </xf>
    <xf numFmtId="3" fontId="17" fillId="0" borderId="46" xfId="63" applyNumberFormat="1" applyFont="1" applyFill="1" applyBorder="1" applyAlignment="1">
      <alignment vertical="center" wrapText="1"/>
      <protection/>
    </xf>
    <xf numFmtId="3" fontId="17" fillId="0" borderId="18" xfId="63" applyNumberFormat="1" applyFont="1" applyFill="1" applyBorder="1" applyAlignment="1">
      <alignment vertical="center" wrapText="1"/>
      <protection/>
    </xf>
    <xf numFmtId="3" fontId="17" fillId="0" borderId="16" xfId="63" applyNumberFormat="1" applyFont="1" applyFill="1" applyBorder="1" applyAlignment="1">
      <alignment vertical="center" wrapText="1"/>
      <protection/>
    </xf>
    <xf numFmtId="3" fontId="17" fillId="0" borderId="14" xfId="63" applyNumberFormat="1" applyFont="1" applyFill="1" applyBorder="1" applyAlignment="1">
      <alignment vertical="center" wrapText="1"/>
      <protection/>
    </xf>
    <xf numFmtId="3" fontId="16" fillId="0" borderId="27" xfId="63" applyNumberFormat="1" applyFont="1" applyFill="1" applyBorder="1" applyAlignment="1" applyProtection="1">
      <alignment horizontal="right" vertical="center" wrapText="1"/>
      <protection locked="0"/>
    </xf>
    <xf numFmtId="3" fontId="16" fillId="0" borderId="46" xfId="63" applyNumberFormat="1" applyFont="1" applyFill="1" applyBorder="1" applyAlignment="1" applyProtection="1">
      <alignment horizontal="right" vertical="center" wrapText="1"/>
      <protection locked="0"/>
    </xf>
    <xf numFmtId="3" fontId="16" fillId="0" borderId="37" xfId="63" applyNumberFormat="1" applyFont="1" applyFill="1" applyBorder="1" applyAlignment="1" applyProtection="1">
      <alignment horizontal="right" vertical="center" wrapText="1"/>
      <protection locked="0"/>
    </xf>
    <xf numFmtId="3" fontId="16" fillId="0" borderId="14" xfId="63" applyNumberFormat="1" applyFont="1" applyFill="1" applyBorder="1" applyAlignment="1" applyProtection="1">
      <alignment horizontal="right" vertical="center" wrapText="1"/>
      <protection locked="0"/>
    </xf>
    <xf numFmtId="3" fontId="21" fillId="0" borderId="69" xfId="0" applyNumberFormat="1" applyFont="1" applyBorder="1" applyAlignment="1">
      <alignment/>
    </xf>
    <xf numFmtId="3" fontId="21" fillId="0" borderId="17" xfId="0" applyNumberFormat="1" applyFont="1" applyBorder="1" applyAlignment="1">
      <alignment/>
    </xf>
    <xf numFmtId="3" fontId="21" fillId="0" borderId="0" xfId="0" applyNumberFormat="1" applyFont="1" applyBorder="1" applyAlignment="1">
      <alignment/>
    </xf>
    <xf numFmtId="49" fontId="17" fillId="0" borderId="0" xfId="63" applyNumberFormat="1" applyFont="1" applyFill="1" applyAlignment="1">
      <alignment horizontal="left" vertical="center" wrapText="1"/>
      <protection/>
    </xf>
    <xf numFmtId="3" fontId="16" fillId="0" borderId="0" xfId="63" applyNumberFormat="1" applyFont="1" applyFill="1" applyAlignment="1">
      <alignment vertical="center" wrapText="1"/>
      <protection/>
    </xf>
    <xf numFmtId="3" fontId="16" fillId="0" borderId="0" xfId="63" applyNumberFormat="1" applyFont="1" applyFill="1" applyAlignment="1">
      <alignment horizontal="right" vertical="center" wrapText="1"/>
      <protection/>
    </xf>
    <xf numFmtId="3" fontId="17" fillId="0" borderId="0" xfId="63" applyNumberFormat="1" applyFont="1" applyFill="1" applyBorder="1" applyAlignment="1">
      <alignment vertical="center" wrapText="1"/>
      <protection/>
    </xf>
    <xf numFmtId="3" fontId="16" fillId="0" borderId="0" xfId="63" applyNumberFormat="1" applyFont="1" applyFill="1" applyBorder="1" applyAlignment="1">
      <alignment vertical="center" wrapText="1"/>
      <protection/>
    </xf>
    <xf numFmtId="0" fontId="16" fillId="0" borderId="0" xfId="63" applyFont="1" applyFill="1" applyAlignment="1">
      <alignment horizontal="center" vertical="center" wrapText="1"/>
      <protection/>
    </xf>
    <xf numFmtId="3" fontId="16" fillId="0" borderId="0" xfId="63" applyNumberFormat="1" applyFont="1" applyFill="1" applyBorder="1" applyAlignment="1">
      <alignment horizontal="center" vertical="center" wrapText="1"/>
      <protection/>
    </xf>
    <xf numFmtId="0" fontId="17" fillId="0" borderId="10" xfId="63" applyFont="1" applyFill="1" applyBorder="1" applyAlignment="1">
      <alignment horizontal="justify"/>
      <protection/>
    </xf>
    <xf numFmtId="3" fontId="17" fillId="0" borderId="101" xfId="63" applyNumberFormat="1" applyFont="1" applyFill="1" applyBorder="1" applyAlignment="1">
      <alignment horizontal="center"/>
      <protection/>
    </xf>
    <xf numFmtId="3" fontId="17" fillId="0" borderId="10" xfId="63" applyNumberFormat="1" applyFont="1" applyFill="1" applyBorder="1" applyAlignment="1">
      <alignment vertical="center" wrapText="1"/>
      <protection/>
    </xf>
    <xf numFmtId="3" fontId="17" fillId="0" borderId="24" xfId="63" applyNumberFormat="1" applyFont="1" applyFill="1" applyBorder="1" applyAlignment="1">
      <alignment vertical="center" wrapText="1"/>
      <protection/>
    </xf>
    <xf numFmtId="3" fontId="17" fillId="0" borderId="17" xfId="63" applyNumberFormat="1" applyFont="1" applyFill="1" applyBorder="1" applyAlignment="1">
      <alignment vertical="center" wrapText="1"/>
      <protection/>
    </xf>
    <xf numFmtId="3" fontId="16" fillId="0" borderId="37" xfId="63" applyNumberFormat="1" applyFont="1" applyFill="1" applyBorder="1" applyAlignment="1" applyProtection="1">
      <alignment horizontal="right" wrapText="1"/>
      <protection locked="0"/>
    </xf>
    <xf numFmtId="3" fontId="16" fillId="0" borderId="14" xfId="63" applyNumberFormat="1" applyFont="1" applyFill="1" applyBorder="1" applyAlignment="1" applyProtection="1">
      <alignment horizontal="right" wrapText="1"/>
      <protection locked="0"/>
    </xf>
    <xf numFmtId="3" fontId="17" fillId="0" borderId="10" xfId="63" applyNumberFormat="1" applyFont="1" applyFill="1" applyBorder="1" applyAlignment="1">
      <alignment wrapText="1"/>
      <protection/>
    </xf>
    <xf numFmtId="3" fontId="17" fillId="0" borderId="24" xfId="63" applyNumberFormat="1" applyFont="1" applyFill="1" applyBorder="1" applyAlignment="1">
      <alignment wrapText="1"/>
      <protection/>
    </xf>
    <xf numFmtId="3" fontId="17" fillId="0" borderId="17" xfId="63" applyNumberFormat="1" applyFont="1" applyFill="1" applyBorder="1" applyAlignment="1">
      <alignment wrapText="1"/>
      <protection/>
    </xf>
    <xf numFmtId="3" fontId="17" fillId="0" borderId="0" xfId="63" applyNumberFormat="1" applyFont="1" applyFill="1" applyBorder="1" applyAlignment="1">
      <alignment wrapText="1"/>
      <protection/>
    </xf>
    <xf numFmtId="0" fontId="16" fillId="0" borderId="0" xfId="63" applyFont="1" applyFill="1" applyAlignment="1">
      <alignment horizontal="center" wrapText="1"/>
      <protection/>
    </xf>
    <xf numFmtId="0" fontId="17" fillId="0" borderId="10" xfId="63" applyFont="1" applyFill="1" applyBorder="1">
      <alignment/>
      <protection/>
    </xf>
    <xf numFmtId="3" fontId="17" fillId="0" borderId="59" xfId="63" applyNumberFormat="1" applyFont="1" applyFill="1" applyBorder="1" applyAlignment="1">
      <alignment horizontal="center"/>
      <protection/>
    </xf>
    <xf numFmtId="3" fontId="16" fillId="0" borderId="28" xfId="63" applyNumberFormat="1" applyFont="1" applyFill="1" applyBorder="1" applyAlignment="1" applyProtection="1">
      <alignment horizontal="right" vertical="center" wrapText="1"/>
      <protection locked="0"/>
    </xf>
    <xf numFmtId="3" fontId="16" fillId="0" borderId="24" xfId="63" applyNumberFormat="1" applyFont="1" applyFill="1" applyBorder="1" applyAlignment="1" applyProtection="1">
      <alignment horizontal="right" vertical="center" wrapText="1"/>
      <protection locked="0"/>
    </xf>
    <xf numFmtId="3" fontId="17" fillId="0" borderId="39" xfId="63" applyNumberFormat="1" applyFont="1" applyFill="1" applyBorder="1" applyAlignment="1">
      <alignment vertical="center" wrapText="1"/>
      <protection/>
    </xf>
    <xf numFmtId="3" fontId="17" fillId="0" borderId="106" xfId="63" applyNumberFormat="1" applyFont="1" applyFill="1" applyBorder="1" applyAlignment="1">
      <alignment vertical="center" wrapText="1"/>
      <protection/>
    </xf>
    <xf numFmtId="0" fontId="17" fillId="0" borderId="24" xfId="63" applyFont="1" applyFill="1" applyBorder="1">
      <alignment/>
      <protection/>
    </xf>
    <xf numFmtId="0" fontId="17" fillId="0" borderId="24" xfId="63" applyFont="1" applyFill="1" applyBorder="1" applyAlignment="1">
      <alignment horizontal="justify"/>
      <protection/>
    </xf>
    <xf numFmtId="0" fontId="17" fillId="0" borderId="33" xfId="63" applyFont="1" applyFill="1" applyBorder="1" applyAlignment="1">
      <alignment horizontal="justify"/>
      <protection/>
    </xf>
    <xf numFmtId="3" fontId="17" fillId="0" borderId="107" xfId="63" applyNumberFormat="1" applyFont="1" applyFill="1" applyBorder="1" applyAlignment="1">
      <alignment horizontal="center"/>
      <protection/>
    </xf>
    <xf numFmtId="3" fontId="16" fillId="0" borderId="30" xfId="63" applyNumberFormat="1" applyFont="1" applyFill="1" applyBorder="1" applyAlignment="1" applyProtection="1">
      <alignment horizontal="right" vertical="center" wrapText="1"/>
      <protection locked="0"/>
    </xf>
    <xf numFmtId="3" fontId="16" fillId="0" borderId="33" xfId="63" applyNumberFormat="1" applyFont="1" applyFill="1" applyBorder="1" applyAlignment="1" applyProtection="1">
      <alignment horizontal="right" vertical="center" wrapText="1"/>
      <protection locked="0"/>
    </xf>
    <xf numFmtId="3" fontId="17" fillId="0" borderId="32" xfId="63" applyNumberFormat="1" applyFont="1" applyFill="1" applyBorder="1" applyAlignment="1">
      <alignment vertical="center" wrapText="1"/>
      <protection/>
    </xf>
    <xf numFmtId="3" fontId="17" fillId="0" borderId="69" xfId="63" applyNumberFormat="1" applyFont="1" applyFill="1" applyBorder="1" applyAlignment="1">
      <alignment vertical="center" wrapText="1"/>
      <protection/>
    </xf>
    <xf numFmtId="0" fontId="17" fillId="0" borderId="0" xfId="63" applyFont="1" applyFill="1" applyAlignment="1">
      <alignment vertical="center" wrapText="1"/>
      <protection/>
    </xf>
    <xf numFmtId="3" fontId="17" fillId="0" borderId="59" xfId="63" applyNumberFormat="1" applyFont="1" applyFill="1" applyBorder="1" applyAlignment="1">
      <alignment horizontal="center" vertical="center" wrapText="1"/>
      <protection/>
    </xf>
    <xf numFmtId="0" fontId="17" fillId="0" borderId="14" xfId="63" applyFont="1" applyFill="1" applyBorder="1" applyAlignment="1">
      <alignment horizontal="justify"/>
      <protection/>
    </xf>
    <xf numFmtId="0" fontId="16" fillId="0" borderId="23" xfId="63" applyFont="1" applyFill="1" applyBorder="1" applyAlignment="1">
      <alignment horizontal="justify"/>
      <protection/>
    </xf>
    <xf numFmtId="3" fontId="16" fillId="0" borderId="57" xfId="63" applyNumberFormat="1" applyFont="1" applyFill="1" applyBorder="1" applyAlignment="1">
      <alignment horizontal="center"/>
      <protection/>
    </xf>
    <xf numFmtId="3" fontId="16" fillId="0" borderId="42" xfId="63" applyNumberFormat="1" applyFont="1" applyFill="1" applyBorder="1" applyAlignment="1" applyProtection="1">
      <alignment horizontal="right" vertical="center" wrapText="1"/>
      <protection locked="0"/>
    </xf>
    <xf numFmtId="3" fontId="16" fillId="0" borderId="66" xfId="63" applyNumberFormat="1" applyFont="1" applyFill="1" applyBorder="1" applyAlignment="1">
      <alignment vertical="center" wrapText="1"/>
      <protection/>
    </xf>
    <xf numFmtId="0" fontId="17" fillId="0" borderId="14" xfId="63" applyFont="1" applyFill="1" applyBorder="1">
      <alignment/>
      <protection/>
    </xf>
    <xf numFmtId="49" fontId="16" fillId="5" borderId="66" xfId="63" applyNumberFormat="1" applyFont="1" applyFill="1" applyBorder="1" applyAlignment="1">
      <alignment horizontal="center" vertical="center" wrapText="1"/>
      <protection/>
    </xf>
    <xf numFmtId="3" fontId="16" fillId="5" borderId="42" xfId="63" applyNumberFormat="1" applyFont="1" applyFill="1" applyBorder="1" applyAlignment="1" applyProtection="1">
      <alignment horizontal="right" vertical="center" wrapText="1"/>
      <protection locked="0"/>
    </xf>
    <xf numFmtId="3" fontId="16" fillId="5" borderId="66" xfId="63" applyNumberFormat="1" applyFont="1" applyFill="1" applyBorder="1" applyAlignment="1" applyProtection="1">
      <alignment horizontal="right" vertical="center" wrapText="1"/>
      <protection locked="0"/>
    </xf>
    <xf numFmtId="3" fontId="16" fillId="5" borderId="22" xfId="63" applyNumberFormat="1" applyFont="1" applyFill="1" applyBorder="1" applyAlignment="1" applyProtection="1">
      <alignment horizontal="right" vertical="center" wrapText="1"/>
      <protection locked="0"/>
    </xf>
    <xf numFmtId="3" fontId="16" fillId="5" borderId="23" xfId="63" applyNumberFormat="1" applyFont="1" applyFill="1" applyBorder="1" applyAlignment="1" applyProtection="1">
      <alignment horizontal="right" vertical="center" wrapText="1"/>
      <protection locked="0"/>
    </xf>
    <xf numFmtId="3" fontId="16" fillId="0" borderId="0" xfId="63" applyNumberFormat="1" applyFont="1" applyFill="1" applyBorder="1" applyAlignment="1" applyProtection="1">
      <alignment horizontal="right" vertical="center" wrapText="1"/>
      <protection locked="0"/>
    </xf>
    <xf numFmtId="0" fontId="16" fillId="0" borderId="102" xfId="63" applyFont="1" applyFill="1" applyBorder="1" applyAlignment="1">
      <alignment horizontal="justify"/>
      <protection/>
    </xf>
    <xf numFmtId="3" fontId="17" fillId="0" borderId="115" xfId="63" applyNumberFormat="1" applyFont="1" applyFill="1" applyBorder="1" applyAlignment="1">
      <alignment horizontal="center"/>
      <protection/>
    </xf>
    <xf numFmtId="3" fontId="16" fillId="0" borderId="41" xfId="63" applyNumberFormat="1" applyFont="1" applyFill="1" applyBorder="1" applyAlignment="1" applyProtection="1">
      <alignment horizontal="right" vertical="center" wrapText="1"/>
      <protection locked="0"/>
    </xf>
    <xf numFmtId="3" fontId="16" fillId="0" borderId="118" xfId="63" applyNumberFormat="1" applyFont="1" applyFill="1" applyBorder="1" applyAlignment="1" applyProtection="1">
      <alignment horizontal="right" vertical="center" wrapText="1"/>
      <protection locked="0"/>
    </xf>
    <xf numFmtId="3" fontId="16" fillId="0" borderId="103" xfId="63" applyNumberFormat="1" applyFont="1" applyFill="1" applyBorder="1" applyAlignment="1" applyProtection="1">
      <alignment horizontal="right" vertical="center" wrapText="1"/>
      <protection locked="0"/>
    </xf>
    <xf numFmtId="3" fontId="16" fillId="0" borderId="61" xfId="63" applyNumberFormat="1" applyFont="1" applyFill="1" applyBorder="1" applyAlignment="1" applyProtection="1">
      <alignment horizontal="right" vertical="center" wrapText="1"/>
      <protection locked="0"/>
    </xf>
    <xf numFmtId="3" fontId="16" fillId="0" borderId="60" xfId="63" applyNumberFormat="1" applyFont="1" applyFill="1" applyBorder="1" applyAlignment="1" applyProtection="1">
      <alignment horizontal="right" vertical="center" wrapText="1"/>
      <protection locked="0"/>
    </xf>
    <xf numFmtId="0" fontId="17" fillId="0" borderId="45" xfId="63" applyFont="1" applyFill="1" applyBorder="1">
      <alignment/>
      <protection/>
    </xf>
    <xf numFmtId="3" fontId="17" fillId="0" borderId="58" xfId="63" applyNumberFormat="1" applyFont="1" applyFill="1" applyBorder="1" applyAlignment="1">
      <alignment horizontal="center"/>
      <protection/>
    </xf>
    <xf numFmtId="3" fontId="16" fillId="5" borderId="20" xfId="63" applyNumberFormat="1" applyFont="1" applyFill="1" applyBorder="1" applyAlignment="1" applyProtection="1">
      <alignment horizontal="right" vertical="center" wrapText="1"/>
      <protection locked="0"/>
    </xf>
    <xf numFmtId="3" fontId="16" fillId="0" borderId="67" xfId="63" applyNumberFormat="1" applyFont="1" applyFill="1" applyBorder="1" applyAlignment="1">
      <alignment vertical="center" wrapText="1"/>
      <protection/>
    </xf>
    <xf numFmtId="3" fontId="16" fillId="0" borderId="45" xfId="63" applyNumberFormat="1" applyFont="1" applyFill="1" applyBorder="1" applyAlignment="1">
      <alignment vertical="center" wrapText="1"/>
      <protection/>
    </xf>
    <xf numFmtId="3" fontId="16" fillId="0" borderId="46" xfId="63" applyNumberFormat="1" applyFont="1" applyFill="1" applyBorder="1" applyAlignment="1">
      <alignment vertical="center" wrapText="1"/>
      <protection/>
    </xf>
    <xf numFmtId="49" fontId="16" fillId="0" borderId="117" xfId="63" applyNumberFormat="1" applyFont="1" applyFill="1" applyBorder="1" applyAlignment="1">
      <alignment horizontal="center" vertical="center" wrapText="1"/>
      <protection/>
    </xf>
    <xf numFmtId="0" fontId="16" fillId="0" borderId="36" xfId="63" applyFont="1" applyFill="1" applyBorder="1" applyAlignment="1">
      <alignment horizontal="justify"/>
      <protection/>
    </xf>
    <xf numFmtId="3" fontId="16" fillId="0" borderId="43" xfId="63" applyNumberFormat="1" applyFont="1" applyFill="1" applyBorder="1" applyAlignment="1" applyProtection="1">
      <alignment horizontal="right" vertical="center" wrapText="1"/>
      <protection locked="0"/>
    </xf>
    <xf numFmtId="3" fontId="16" fillId="0" borderId="36" xfId="63" applyNumberFormat="1" applyFont="1" applyFill="1" applyBorder="1" applyAlignment="1" applyProtection="1">
      <alignment horizontal="right" vertical="center" wrapText="1"/>
      <protection locked="0"/>
    </xf>
    <xf numFmtId="3" fontId="16" fillId="0" borderId="117" xfId="63" applyNumberFormat="1" applyFont="1" applyFill="1" applyBorder="1" applyAlignment="1">
      <alignment vertical="center" wrapText="1"/>
      <protection/>
    </xf>
    <xf numFmtId="3" fontId="16" fillId="0" borderId="35" xfId="63" applyNumberFormat="1" applyFont="1" applyFill="1" applyBorder="1" applyAlignment="1">
      <alignment vertical="center" wrapText="1"/>
      <protection/>
    </xf>
    <xf numFmtId="3" fontId="16" fillId="0" borderId="36" xfId="63" applyNumberFormat="1" applyFont="1" applyFill="1" applyBorder="1" applyAlignment="1">
      <alignment vertical="center" wrapText="1"/>
      <protection/>
    </xf>
    <xf numFmtId="0" fontId="16" fillId="5" borderId="23" xfId="63" applyFont="1" applyFill="1" applyBorder="1" applyAlignment="1">
      <alignment horizontal="justify"/>
      <protection/>
    </xf>
    <xf numFmtId="3" fontId="16" fillId="5" borderId="66" xfId="63" applyNumberFormat="1" applyFont="1" applyFill="1" applyBorder="1" applyAlignment="1">
      <alignment vertical="center" wrapText="1"/>
      <protection/>
    </xf>
    <xf numFmtId="3" fontId="16" fillId="5" borderId="22" xfId="63" applyNumberFormat="1" applyFont="1" applyFill="1" applyBorder="1" applyAlignment="1">
      <alignment vertical="center" wrapText="1"/>
      <protection/>
    </xf>
    <xf numFmtId="3" fontId="16" fillId="5" borderId="23" xfId="63" applyNumberFormat="1" applyFont="1" applyFill="1" applyBorder="1" applyAlignment="1">
      <alignment vertical="center" wrapText="1"/>
      <protection/>
    </xf>
    <xf numFmtId="0" fontId="17" fillId="0" borderId="40" xfId="63" applyFont="1" applyFill="1" applyBorder="1" applyAlignment="1">
      <alignment horizontal="justify"/>
      <protection/>
    </xf>
    <xf numFmtId="3" fontId="17" fillId="0" borderId="105" xfId="63" applyNumberFormat="1" applyFont="1" applyFill="1" applyBorder="1" applyAlignment="1">
      <alignment horizontal="center"/>
      <protection/>
    </xf>
    <xf numFmtId="3" fontId="16" fillId="0" borderId="56" xfId="63" applyNumberFormat="1" applyFont="1" applyFill="1" applyBorder="1" applyAlignment="1" applyProtection="1">
      <alignment horizontal="right" vertical="center" wrapText="1"/>
      <protection locked="0"/>
    </xf>
    <xf numFmtId="3" fontId="16" fillId="5" borderId="42" xfId="63" applyNumberFormat="1" applyFont="1" applyFill="1" applyBorder="1" applyAlignment="1">
      <alignment horizontal="right" vertical="center" wrapText="1"/>
      <protection/>
    </xf>
    <xf numFmtId="3" fontId="16" fillId="5" borderId="23" xfId="63" applyNumberFormat="1" applyFont="1" applyFill="1" applyBorder="1" applyAlignment="1">
      <alignment horizontal="right" vertical="center" wrapText="1"/>
      <protection/>
    </xf>
    <xf numFmtId="3" fontId="16" fillId="5" borderId="66" xfId="63" applyNumberFormat="1" applyFont="1" applyFill="1" applyBorder="1" applyAlignment="1">
      <alignment horizontal="right" vertical="center" wrapText="1"/>
      <protection/>
    </xf>
    <xf numFmtId="3" fontId="16" fillId="5" borderId="22" xfId="63" applyNumberFormat="1" applyFont="1" applyFill="1" applyBorder="1" applyAlignment="1">
      <alignment horizontal="right" vertical="center" wrapText="1"/>
      <protection/>
    </xf>
    <xf numFmtId="3" fontId="16" fillId="0" borderId="0" xfId="63" applyNumberFormat="1" applyFont="1" applyFill="1" applyBorder="1" applyAlignment="1">
      <alignment horizontal="right" vertical="center" wrapText="1"/>
      <protection/>
    </xf>
    <xf numFmtId="3" fontId="15" fillId="0" borderId="0" xfId="63" applyNumberFormat="1" applyFont="1" applyFill="1" applyBorder="1" applyAlignment="1">
      <alignment horizontal="right" wrapText="1"/>
      <protection/>
    </xf>
    <xf numFmtId="3" fontId="16" fillId="0" borderId="57" xfId="63" applyNumberFormat="1" applyFont="1" applyFill="1" applyBorder="1" applyAlignment="1" applyProtection="1">
      <alignment horizontal="right" vertical="center" wrapText="1"/>
      <protection locked="0"/>
    </xf>
    <xf numFmtId="3" fontId="16" fillId="0" borderId="66" xfId="63" applyNumberFormat="1" applyFont="1" applyFill="1" applyBorder="1" applyAlignment="1" applyProtection="1">
      <alignment horizontal="right" vertical="center" wrapText="1"/>
      <protection locked="0"/>
    </xf>
    <xf numFmtId="3" fontId="16" fillId="0" borderId="22" xfId="63" applyNumberFormat="1" applyFont="1" applyFill="1" applyBorder="1" applyAlignment="1" applyProtection="1">
      <alignment horizontal="right" vertical="center" wrapText="1"/>
      <protection locked="0"/>
    </xf>
    <xf numFmtId="3" fontId="16" fillId="0" borderId="49" xfId="63" applyNumberFormat="1" applyFont="1" applyFill="1" applyBorder="1" applyAlignment="1" applyProtection="1">
      <alignment horizontal="right" vertical="center" wrapText="1"/>
      <protection locked="0"/>
    </xf>
    <xf numFmtId="3" fontId="16" fillId="0" borderId="21" xfId="63" applyNumberFormat="1" applyFont="1" applyFill="1" applyBorder="1" applyAlignment="1" applyProtection="1">
      <alignment horizontal="right" vertical="center" wrapText="1"/>
      <protection locked="0"/>
    </xf>
    <xf numFmtId="3" fontId="16" fillId="5" borderId="117" xfId="63" applyNumberFormat="1" applyFont="1" applyFill="1" applyBorder="1" applyAlignment="1" applyProtection="1">
      <alignment horizontal="right" vertical="center" wrapText="1"/>
      <protection locked="0"/>
    </xf>
    <xf numFmtId="3" fontId="16" fillId="5" borderId="35" xfId="63" applyNumberFormat="1" applyFont="1" applyFill="1" applyBorder="1" applyAlignment="1" applyProtection="1">
      <alignment horizontal="right" vertical="center" wrapText="1"/>
      <protection locked="0"/>
    </xf>
    <xf numFmtId="3" fontId="16" fillId="5" borderId="36" xfId="63" applyNumberFormat="1" applyFont="1" applyFill="1" applyBorder="1" applyAlignment="1" applyProtection="1">
      <alignment horizontal="right" vertical="center" wrapText="1"/>
      <protection locked="0"/>
    </xf>
    <xf numFmtId="3" fontId="16" fillId="5" borderId="43" xfId="63" applyNumberFormat="1" applyFont="1" applyFill="1" applyBorder="1" applyAlignment="1" applyProtection="1">
      <alignment horizontal="right" vertical="center" wrapText="1"/>
      <protection locked="0"/>
    </xf>
    <xf numFmtId="3" fontId="16" fillId="5" borderId="112" xfId="63" applyNumberFormat="1" applyFont="1" applyFill="1" applyBorder="1" applyAlignment="1" applyProtection="1">
      <alignment horizontal="right" vertical="center" wrapText="1"/>
      <protection locked="0"/>
    </xf>
    <xf numFmtId="3" fontId="16" fillId="0" borderId="16" xfId="63" applyNumberFormat="1" applyFont="1" applyFill="1" applyBorder="1" applyAlignment="1">
      <alignment vertical="center" wrapText="1"/>
      <protection/>
    </xf>
    <xf numFmtId="49" fontId="16" fillId="0" borderId="106" xfId="63" applyNumberFormat="1" applyFont="1" applyFill="1" applyBorder="1" applyAlignment="1">
      <alignment horizontal="center" vertical="center" wrapText="1"/>
      <protection/>
    </xf>
    <xf numFmtId="3" fontId="16" fillId="5" borderId="57" xfId="63" applyNumberFormat="1" applyFont="1" applyFill="1" applyBorder="1" applyAlignment="1" applyProtection="1">
      <alignment horizontal="right" vertical="center" wrapText="1"/>
      <protection locked="0"/>
    </xf>
    <xf numFmtId="3" fontId="16" fillId="5" borderId="49" xfId="63" applyNumberFormat="1" applyFont="1" applyFill="1" applyBorder="1" applyAlignment="1" applyProtection="1">
      <alignment horizontal="right" vertical="center" wrapText="1"/>
      <protection locked="0"/>
    </xf>
    <xf numFmtId="49" fontId="6" fillId="0" borderId="0" xfId="63" applyNumberFormat="1" applyFont="1" applyFill="1" applyAlignment="1">
      <alignment horizontal="left" vertical="center" wrapText="1"/>
      <protection/>
    </xf>
    <xf numFmtId="3" fontId="10" fillId="0" borderId="0" xfId="63" applyNumberFormat="1" applyFont="1" applyFill="1" applyAlignment="1">
      <alignment horizontal="right" vertical="center" wrapText="1"/>
      <protection/>
    </xf>
    <xf numFmtId="49" fontId="17" fillId="0" borderId="114" xfId="63" applyNumberFormat="1" applyFont="1" applyFill="1" applyBorder="1" applyAlignment="1">
      <alignment horizontal="left" vertical="center" wrapText="1"/>
      <protection/>
    </xf>
    <xf numFmtId="49" fontId="17" fillId="0" borderId="113" xfId="63" applyNumberFormat="1" applyFont="1" applyFill="1" applyBorder="1" applyAlignment="1">
      <alignment horizontal="left" vertical="center" wrapText="1"/>
      <protection/>
    </xf>
    <xf numFmtId="49" fontId="17" fillId="0" borderId="116" xfId="63" applyNumberFormat="1" applyFont="1" applyFill="1" applyBorder="1" applyAlignment="1">
      <alignment horizontal="left" vertical="center" wrapText="1"/>
      <protection/>
    </xf>
    <xf numFmtId="49" fontId="17" fillId="0" borderId="108" xfId="63" applyNumberFormat="1" applyFont="1" applyFill="1" applyBorder="1" applyAlignment="1">
      <alignment horizontal="left" vertical="center" wrapText="1"/>
      <protection/>
    </xf>
    <xf numFmtId="49" fontId="17" fillId="0" borderId="118" xfId="63" applyNumberFormat="1" applyFont="1" applyFill="1" applyBorder="1" applyAlignment="1">
      <alignment horizontal="left" vertical="center" wrapText="1"/>
      <protection/>
    </xf>
    <xf numFmtId="49" fontId="17" fillId="0" borderId="109" xfId="63" applyNumberFormat="1" applyFont="1" applyFill="1" applyBorder="1" applyAlignment="1">
      <alignment horizontal="left" vertical="center" wrapText="1"/>
      <protection/>
    </xf>
    <xf numFmtId="49" fontId="16" fillId="0" borderId="20" xfId="63" applyNumberFormat="1" applyFont="1" applyFill="1" applyBorder="1" applyAlignment="1">
      <alignment horizontal="left" vertical="center" wrapText="1"/>
      <protection/>
    </xf>
    <xf numFmtId="3" fontId="16" fillId="0" borderId="57" xfId="63" applyNumberFormat="1" applyFont="1" applyFill="1" applyBorder="1" applyAlignment="1">
      <alignment vertical="center" wrapText="1"/>
      <protection/>
    </xf>
    <xf numFmtId="0" fontId="17" fillId="0" borderId="49" xfId="63" applyFont="1" applyBorder="1" applyAlignment="1">
      <alignment/>
      <protection/>
    </xf>
    <xf numFmtId="0" fontId="17" fillId="0" borderId="20" xfId="63" applyFont="1" applyBorder="1" applyAlignment="1">
      <alignment/>
      <protection/>
    </xf>
    <xf numFmtId="4" fontId="17" fillId="0" borderId="46" xfId="63" applyNumberFormat="1" applyFont="1" applyFill="1" applyBorder="1" applyAlignment="1">
      <alignment horizontal="left" vertical="center" wrapText="1"/>
      <protection/>
    </xf>
    <xf numFmtId="3" fontId="17" fillId="0" borderId="16" xfId="83" applyNumberFormat="1" applyFont="1" applyFill="1" applyBorder="1" applyAlignment="1" applyProtection="1">
      <alignment vertical="center" wrapText="1"/>
      <protection/>
    </xf>
    <xf numFmtId="0" fontId="17" fillId="0" borderId="46" xfId="63" applyFont="1" applyFill="1" applyBorder="1" applyAlignment="1">
      <alignment/>
      <protection/>
    </xf>
    <xf numFmtId="0" fontId="17" fillId="0" borderId="10" xfId="63" applyFont="1" applyFill="1" applyBorder="1" applyAlignment="1">
      <alignment/>
      <protection/>
    </xf>
    <xf numFmtId="0" fontId="17" fillId="0" borderId="39" xfId="63" applyFont="1" applyFill="1" applyBorder="1" applyAlignment="1">
      <alignment/>
      <protection/>
    </xf>
    <xf numFmtId="0" fontId="17" fillId="0" borderId="24" xfId="63" applyFont="1" applyFill="1" applyBorder="1" applyAlignment="1">
      <alignment/>
      <protection/>
    </xf>
    <xf numFmtId="0" fontId="17" fillId="0" borderId="33" xfId="63" applyFont="1" applyFill="1" applyBorder="1" applyAlignment="1">
      <alignment/>
      <protection/>
    </xf>
    <xf numFmtId="0" fontId="17" fillId="0" borderId="14" xfId="63" applyFont="1" applyFill="1" applyBorder="1" applyAlignment="1">
      <alignment/>
      <protection/>
    </xf>
    <xf numFmtId="188" fontId="16" fillId="0" borderId="57" xfId="63" applyNumberFormat="1" applyFont="1" applyFill="1" applyBorder="1" applyAlignment="1">
      <alignment horizontal="center" vertical="center" wrapText="1"/>
      <protection/>
    </xf>
    <xf numFmtId="188" fontId="16" fillId="5" borderId="57" xfId="63" applyNumberFormat="1" applyFont="1" applyFill="1" applyBorder="1" applyAlignment="1">
      <alignment horizontal="center" vertical="center" wrapText="1"/>
      <protection/>
    </xf>
    <xf numFmtId="188" fontId="16" fillId="0" borderId="58" xfId="63" applyNumberFormat="1" applyFont="1" applyFill="1" applyBorder="1" applyAlignment="1">
      <alignment horizontal="center" vertical="center" wrapText="1"/>
      <protection/>
    </xf>
    <xf numFmtId="188" fontId="16" fillId="0" borderId="111" xfId="63" applyNumberFormat="1" applyFont="1" applyFill="1" applyBorder="1" applyAlignment="1">
      <alignment horizontal="center" vertical="center" wrapText="1"/>
      <protection/>
    </xf>
    <xf numFmtId="188" fontId="16" fillId="0" borderId="59" xfId="63" applyNumberFormat="1" applyFont="1" applyFill="1" applyBorder="1" applyAlignment="1">
      <alignment horizontal="center" vertical="center" wrapText="1"/>
      <protection/>
    </xf>
    <xf numFmtId="3" fontId="16" fillId="0" borderId="17" xfId="63" applyNumberFormat="1" applyFont="1" applyFill="1" applyBorder="1" applyAlignment="1">
      <alignment vertical="center" wrapText="1"/>
      <protection/>
    </xf>
    <xf numFmtId="3" fontId="16" fillId="0" borderId="10" xfId="63" applyNumberFormat="1" applyFont="1" applyFill="1" applyBorder="1" applyAlignment="1">
      <alignment vertical="center" wrapText="1"/>
      <protection/>
    </xf>
    <xf numFmtId="3" fontId="16" fillId="0" borderId="24" xfId="63" applyNumberFormat="1" applyFont="1" applyFill="1" applyBorder="1" applyAlignment="1">
      <alignment vertical="center" wrapText="1"/>
      <protection/>
    </xf>
    <xf numFmtId="188" fontId="6" fillId="0" borderId="0" xfId="63" applyNumberFormat="1" applyFont="1" applyFill="1" applyAlignment="1">
      <alignment horizontal="center" vertical="center" wrapText="1"/>
      <protection/>
    </xf>
    <xf numFmtId="188" fontId="17" fillId="0" borderId="0" xfId="63" applyNumberFormat="1" applyFont="1" applyFill="1" applyAlignment="1">
      <alignment horizontal="center" vertical="center" wrapText="1"/>
      <protection/>
    </xf>
    <xf numFmtId="188" fontId="17" fillId="0" borderId="59" xfId="63" applyNumberFormat="1" applyFont="1" applyFill="1" applyBorder="1" applyAlignment="1">
      <alignment horizontal="center" vertical="center" wrapText="1"/>
      <protection/>
    </xf>
    <xf numFmtId="188" fontId="17" fillId="0" borderId="101" xfId="63" applyNumberFormat="1" applyFont="1" applyFill="1" applyBorder="1" applyAlignment="1">
      <alignment horizontal="center" vertical="center" wrapText="1"/>
      <protection/>
    </xf>
    <xf numFmtId="188" fontId="17" fillId="0" borderId="115" xfId="63" applyNumberFormat="1" applyFont="1" applyFill="1" applyBorder="1" applyAlignment="1">
      <alignment horizontal="center" vertical="center" wrapText="1"/>
      <protection/>
    </xf>
    <xf numFmtId="188" fontId="17" fillId="0" borderId="58" xfId="63" applyNumberFormat="1" applyFont="1" applyFill="1" applyBorder="1" applyAlignment="1">
      <alignment horizontal="center" vertical="center" wrapText="1"/>
      <protection/>
    </xf>
    <xf numFmtId="188" fontId="17" fillId="0" borderId="105" xfId="63" applyNumberFormat="1" applyFont="1" applyFill="1" applyBorder="1" applyAlignment="1">
      <alignment horizontal="center" vertical="center" wrapText="1"/>
      <protection/>
    </xf>
    <xf numFmtId="49" fontId="6" fillId="0" borderId="0" xfId="63" applyNumberFormat="1" applyFont="1" applyFill="1" applyAlignment="1">
      <alignment horizontal="center" vertical="center" wrapText="1"/>
      <protection/>
    </xf>
    <xf numFmtId="49" fontId="17" fillId="0" borderId="0" xfId="63" applyNumberFormat="1" applyFont="1" applyFill="1" applyAlignment="1">
      <alignment horizontal="center" vertical="center" wrapText="1"/>
      <protection/>
    </xf>
    <xf numFmtId="4" fontId="17" fillId="0" borderId="101" xfId="63" applyNumberFormat="1" applyFont="1" applyFill="1" applyBorder="1" applyAlignment="1">
      <alignment horizontal="center" vertical="center" wrapText="1"/>
      <protection/>
    </xf>
    <xf numFmtId="4" fontId="17" fillId="0" borderId="18" xfId="63" applyNumberFormat="1" applyFont="1" applyFill="1" applyBorder="1" applyAlignment="1">
      <alignment horizontal="center" vertical="center" wrapText="1"/>
      <protection/>
    </xf>
    <xf numFmtId="49" fontId="17" fillId="0" borderId="103" xfId="63" applyNumberFormat="1" applyFont="1" applyFill="1" applyBorder="1" applyAlignment="1">
      <alignment horizontal="center" vertical="center" wrapText="1"/>
      <protection/>
    </xf>
    <xf numFmtId="3" fontId="16" fillId="0" borderId="14" xfId="63" applyNumberFormat="1" applyFont="1" applyFill="1" applyBorder="1" applyAlignment="1">
      <alignment vertical="center" wrapText="1"/>
      <protection/>
    </xf>
    <xf numFmtId="3" fontId="17" fillId="0" borderId="101" xfId="63" applyNumberFormat="1" applyFont="1" applyFill="1" applyBorder="1" applyAlignment="1">
      <alignment vertical="center" wrapText="1"/>
      <protection/>
    </xf>
    <xf numFmtId="3" fontId="16" fillId="0" borderId="18" xfId="63" applyNumberFormat="1" applyFont="1" applyFill="1" applyBorder="1" applyAlignment="1">
      <alignment vertical="center" wrapText="1"/>
      <protection/>
    </xf>
    <xf numFmtId="3" fontId="16" fillId="0" borderId="0" xfId="63" applyNumberFormat="1" applyFont="1">
      <alignment/>
      <protection/>
    </xf>
    <xf numFmtId="3" fontId="17" fillId="0" borderId="0" xfId="63" applyNumberFormat="1" applyFont="1" applyAlignment="1">
      <alignment horizontal="center"/>
      <protection/>
    </xf>
    <xf numFmtId="3" fontId="17" fillId="0" borderId="20" xfId="63" applyNumberFormat="1" applyFont="1" applyBorder="1" applyAlignment="1">
      <alignment horizontal="center" vertical="center" wrapText="1"/>
      <protection/>
    </xf>
    <xf numFmtId="3" fontId="17" fillId="0" borderId="21" xfId="63" applyNumberFormat="1" applyFont="1" applyFill="1" applyBorder="1" applyAlignment="1">
      <alignment horizontal="center" vertical="center" wrapText="1"/>
      <protection/>
    </xf>
    <xf numFmtId="3" fontId="17" fillId="0" borderId="22" xfId="63" applyNumberFormat="1" applyFont="1" applyFill="1" applyBorder="1" applyAlignment="1">
      <alignment horizontal="center" vertical="center" wrapText="1"/>
      <protection/>
    </xf>
    <xf numFmtId="3" fontId="17" fillId="0" borderId="23" xfId="63" applyNumberFormat="1" applyFont="1" applyFill="1" applyBorder="1" applyAlignment="1">
      <alignment horizontal="center" vertical="center" wrapText="1"/>
      <protection/>
    </xf>
    <xf numFmtId="3" fontId="17" fillId="0" borderId="68" xfId="63" applyNumberFormat="1" applyFont="1" applyFill="1" applyBorder="1" applyAlignment="1">
      <alignment horizontal="center" vertical="center" wrapText="1"/>
      <protection/>
    </xf>
    <xf numFmtId="3" fontId="17" fillId="0" borderId="21" xfId="63" applyNumberFormat="1" applyFont="1" applyBorder="1" applyAlignment="1">
      <alignment horizontal="center" vertical="center" wrapText="1"/>
      <protection/>
    </xf>
    <xf numFmtId="3" fontId="17" fillId="0" borderId="68" xfId="63" applyNumberFormat="1" applyFont="1" applyBorder="1" applyAlignment="1">
      <alignment horizontal="center" vertical="center" wrapText="1"/>
      <protection/>
    </xf>
    <xf numFmtId="3" fontId="16" fillId="0" borderId="42" xfId="63" applyNumberFormat="1" applyFont="1" applyBorder="1" applyAlignment="1">
      <alignment horizontal="center" vertical="center" wrapText="1"/>
      <protection/>
    </xf>
    <xf numFmtId="3" fontId="16" fillId="0" borderId="0" xfId="63" applyNumberFormat="1" applyFont="1" applyAlignment="1">
      <alignment vertical="center"/>
      <protection/>
    </xf>
    <xf numFmtId="3" fontId="17" fillId="0" borderId="114" xfId="63" applyNumberFormat="1" applyFont="1" applyBorder="1" applyAlignment="1">
      <alignment horizontal="left" indent="1"/>
      <protection/>
    </xf>
    <xf numFmtId="3" fontId="17" fillId="0" borderId="25" xfId="63" applyNumberFormat="1" applyFont="1" applyBorder="1">
      <alignment/>
      <protection/>
    </xf>
    <xf numFmtId="3" fontId="16" fillId="0" borderId="25" xfId="63" applyNumberFormat="1" applyFont="1" applyBorder="1">
      <alignment/>
      <protection/>
    </xf>
    <xf numFmtId="3" fontId="17" fillId="0" borderId="15" xfId="63" applyNumberFormat="1" applyFont="1" applyBorder="1">
      <alignment/>
      <protection/>
    </xf>
    <xf numFmtId="3" fontId="16" fillId="0" borderId="37" xfId="63" applyNumberFormat="1" applyFont="1" applyBorder="1">
      <alignment/>
      <protection/>
    </xf>
    <xf numFmtId="3" fontId="17" fillId="0" borderId="113" xfId="63" applyNumberFormat="1" applyFont="1" applyBorder="1" applyAlignment="1">
      <alignment horizontal="left" indent="1"/>
      <protection/>
    </xf>
    <xf numFmtId="3" fontId="17" fillId="0" borderId="26" xfId="63" applyNumberFormat="1" applyFont="1" applyBorder="1">
      <alignment/>
      <protection/>
    </xf>
    <xf numFmtId="3" fontId="16" fillId="0" borderId="26" xfId="63" applyNumberFormat="1" applyFont="1" applyBorder="1">
      <alignment/>
      <protection/>
    </xf>
    <xf numFmtId="3" fontId="17" fillId="0" borderId="65" xfId="63" applyNumberFormat="1" applyFont="1" applyBorder="1">
      <alignment/>
      <protection/>
    </xf>
    <xf numFmtId="3" fontId="16" fillId="0" borderId="28" xfId="63" applyNumberFormat="1" applyFont="1" applyBorder="1">
      <alignment/>
      <protection/>
    </xf>
    <xf numFmtId="3" fontId="17" fillId="0" borderId="108" xfId="63" applyNumberFormat="1" applyFont="1" applyBorder="1" applyAlignment="1">
      <alignment horizontal="left" indent="1"/>
      <protection/>
    </xf>
    <xf numFmtId="3" fontId="17" fillId="0" borderId="31" xfId="63" applyNumberFormat="1" applyFont="1" applyBorder="1">
      <alignment/>
      <protection/>
    </xf>
    <xf numFmtId="3" fontId="16" fillId="0" borderId="66" xfId="63" applyNumberFormat="1" applyFont="1" applyBorder="1" applyAlignment="1">
      <alignment horizontal="center"/>
      <protection/>
    </xf>
    <xf numFmtId="3" fontId="16" fillId="0" borderId="20" xfId="63" applyNumberFormat="1" applyFont="1" applyBorder="1">
      <alignment/>
      <protection/>
    </xf>
    <xf numFmtId="3" fontId="16" fillId="0" borderId="21" xfId="63" applyNumberFormat="1" applyFont="1" applyBorder="1">
      <alignment/>
      <protection/>
    </xf>
    <xf numFmtId="3" fontId="16" fillId="0" borderId="22" xfId="63" applyNumberFormat="1" applyFont="1" applyBorder="1">
      <alignment/>
      <protection/>
    </xf>
    <xf numFmtId="3" fontId="16" fillId="0" borderId="23" xfId="63" applyNumberFormat="1" applyFont="1" applyBorder="1">
      <alignment/>
      <protection/>
    </xf>
    <xf numFmtId="3" fontId="16" fillId="0" borderId="42" xfId="63" applyNumberFormat="1" applyFont="1" applyBorder="1">
      <alignment/>
      <protection/>
    </xf>
    <xf numFmtId="3" fontId="16" fillId="0" borderId="68" xfId="63" applyNumberFormat="1" applyFont="1" applyBorder="1">
      <alignment/>
      <protection/>
    </xf>
    <xf numFmtId="3" fontId="17" fillId="0" borderId="116" xfId="63" applyNumberFormat="1" applyFont="1" applyBorder="1" applyAlignment="1">
      <alignment horizontal="left" indent="1"/>
      <protection/>
    </xf>
    <xf numFmtId="3" fontId="17" fillId="0" borderId="38" xfId="63" applyNumberFormat="1" applyFont="1" applyBorder="1">
      <alignment/>
      <protection/>
    </xf>
    <xf numFmtId="3" fontId="16" fillId="5" borderId="66" xfId="63" applyNumberFormat="1" applyFont="1" applyFill="1" applyBorder="1" applyAlignment="1">
      <alignment horizontal="center"/>
      <protection/>
    </xf>
    <xf numFmtId="3" fontId="16" fillId="5" borderId="20" xfId="63" applyNumberFormat="1" applyFont="1" applyFill="1" applyBorder="1">
      <alignment/>
      <protection/>
    </xf>
    <xf numFmtId="3" fontId="16" fillId="5" borderId="21" xfId="63" applyNumberFormat="1" applyFont="1" applyFill="1" applyBorder="1">
      <alignment/>
      <protection/>
    </xf>
    <xf numFmtId="3" fontId="16" fillId="5" borderId="22" xfId="63" applyNumberFormat="1" applyFont="1" applyFill="1" applyBorder="1">
      <alignment/>
      <protection/>
    </xf>
    <xf numFmtId="3" fontId="16" fillId="5" borderId="68" xfId="63" applyNumberFormat="1" applyFont="1" applyFill="1" applyBorder="1">
      <alignment/>
      <protection/>
    </xf>
    <xf numFmtId="3" fontId="16" fillId="5" borderId="42" xfId="63" applyNumberFormat="1" applyFont="1" applyFill="1" applyBorder="1">
      <alignment/>
      <protection/>
    </xf>
    <xf numFmtId="3" fontId="16" fillId="0" borderId="106" xfId="63" applyNumberFormat="1" applyFont="1" applyFill="1" applyBorder="1" applyAlignment="1">
      <alignment horizontal="center"/>
      <protection/>
    </xf>
    <xf numFmtId="3" fontId="16" fillId="0" borderId="116" xfId="63" applyNumberFormat="1" applyFont="1" applyFill="1" applyBorder="1">
      <alignment/>
      <protection/>
    </xf>
    <xf numFmtId="3" fontId="16" fillId="0" borderId="38" xfId="63" applyNumberFormat="1" applyFont="1" applyFill="1" applyBorder="1">
      <alignment/>
      <protection/>
    </xf>
    <xf numFmtId="3" fontId="16" fillId="0" borderId="39" xfId="63" applyNumberFormat="1" applyFont="1" applyFill="1" applyBorder="1">
      <alignment/>
      <protection/>
    </xf>
    <xf numFmtId="3" fontId="16" fillId="0" borderId="73" xfId="63" applyNumberFormat="1" applyFont="1" applyFill="1" applyBorder="1">
      <alignment/>
      <protection/>
    </xf>
    <xf numFmtId="3" fontId="16" fillId="0" borderId="56" xfId="63" applyNumberFormat="1" applyFont="1" applyFill="1" applyBorder="1">
      <alignment/>
      <protection/>
    </xf>
    <xf numFmtId="0" fontId="17" fillId="0" borderId="24" xfId="63" applyFont="1" applyFill="1" applyBorder="1" applyAlignment="1">
      <alignment horizontal="left" vertical="center" wrapText="1" indent="1"/>
      <protection/>
    </xf>
    <xf numFmtId="0" fontId="17" fillId="0" borderId="24" xfId="63" applyFont="1" applyFill="1" applyBorder="1" applyAlignment="1">
      <alignment horizontal="left" indent="1"/>
      <protection/>
    </xf>
    <xf numFmtId="3" fontId="16" fillId="0" borderId="66" xfId="63" applyNumberFormat="1" applyFont="1" applyFill="1" applyBorder="1" applyAlignment="1">
      <alignment horizontal="center"/>
      <protection/>
    </xf>
    <xf numFmtId="3" fontId="16" fillId="0" borderId="20" xfId="63" applyNumberFormat="1" applyFont="1" applyFill="1" applyBorder="1">
      <alignment/>
      <protection/>
    </xf>
    <xf numFmtId="3" fontId="16" fillId="0" borderId="21" xfId="63" applyNumberFormat="1" applyFont="1" applyFill="1" applyBorder="1">
      <alignment/>
      <protection/>
    </xf>
    <xf numFmtId="3" fontId="16" fillId="0" borderId="22" xfId="63" applyNumberFormat="1" applyFont="1" applyFill="1" applyBorder="1">
      <alignment/>
      <protection/>
    </xf>
    <xf numFmtId="3" fontId="16" fillId="0" borderId="68" xfId="63" applyNumberFormat="1" applyFont="1" applyFill="1" applyBorder="1">
      <alignment/>
      <protection/>
    </xf>
    <xf numFmtId="3" fontId="16" fillId="0" borderId="42" xfId="63" applyNumberFormat="1" applyFont="1" applyFill="1" applyBorder="1">
      <alignment/>
      <protection/>
    </xf>
    <xf numFmtId="0" fontId="16" fillId="0" borderId="116" xfId="63" applyFont="1" applyFill="1" applyBorder="1" applyAlignment="1">
      <alignment horizontal="justify"/>
      <protection/>
    </xf>
    <xf numFmtId="3" fontId="16" fillId="0" borderId="34" xfId="63" applyNumberFormat="1" applyFont="1" applyFill="1" applyBorder="1">
      <alignment/>
      <protection/>
    </xf>
    <xf numFmtId="3" fontId="16" fillId="0" borderId="104" xfId="63" applyNumberFormat="1" applyFont="1" applyFill="1" applyBorder="1">
      <alignment/>
      <protection/>
    </xf>
    <xf numFmtId="3" fontId="16" fillId="5" borderId="34" xfId="63" applyNumberFormat="1" applyFont="1" applyFill="1" applyBorder="1">
      <alignment/>
      <protection/>
    </xf>
    <xf numFmtId="3" fontId="16" fillId="5" borderId="43" xfId="63" applyNumberFormat="1" applyFont="1" applyFill="1" applyBorder="1">
      <alignment/>
      <protection/>
    </xf>
    <xf numFmtId="3" fontId="16" fillId="5" borderId="104" xfId="63" applyNumberFormat="1" applyFont="1" applyFill="1" applyBorder="1">
      <alignment/>
      <protection/>
    </xf>
    <xf numFmtId="3" fontId="16" fillId="0" borderId="0" xfId="63" applyNumberFormat="1" applyFont="1" applyBorder="1">
      <alignment/>
      <protection/>
    </xf>
    <xf numFmtId="3" fontId="26" fillId="0" borderId="0" xfId="63" applyNumberFormat="1" applyFont="1">
      <alignment/>
      <protection/>
    </xf>
    <xf numFmtId="3" fontId="16" fillId="5" borderId="108" xfId="63" applyNumberFormat="1" applyFont="1" applyFill="1" applyBorder="1" applyAlignment="1">
      <alignment horizontal="left"/>
      <protection/>
    </xf>
    <xf numFmtId="3" fontId="16" fillId="5" borderId="31" xfId="63" applyNumberFormat="1" applyFont="1" applyFill="1" applyBorder="1">
      <alignment/>
      <protection/>
    </xf>
    <xf numFmtId="3" fontId="16" fillId="5" borderId="70" xfId="63" applyNumberFormat="1" applyFont="1" applyFill="1" applyBorder="1">
      <alignment/>
      <protection/>
    </xf>
    <xf numFmtId="3" fontId="16" fillId="5" borderId="30" xfId="63" applyNumberFormat="1" applyFont="1" applyFill="1" applyBorder="1">
      <alignment/>
      <protection/>
    </xf>
    <xf numFmtId="3" fontId="16" fillId="0" borderId="37" xfId="42" applyNumberFormat="1" applyFont="1" applyBorder="1" applyAlignment="1">
      <alignment/>
    </xf>
    <xf numFmtId="3" fontId="16" fillId="0" borderId="28" xfId="42" applyNumberFormat="1" applyFont="1" applyBorder="1" applyAlignment="1">
      <alignment/>
    </xf>
    <xf numFmtId="3" fontId="16" fillId="0" borderId="30" xfId="42" applyNumberFormat="1" applyFont="1" applyBorder="1" applyAlignment="1">
      <alignment/>
    </xf>
    <xf numFmtId="3" fontId="16" fillId="0" borderId="56" xfId="42" applyNumberFormat="1" applyFont="1" applyBorder="1" applyAlignment="1">
      <alignment/>
    </xf>
    <xf numFmtId="3" fontId="16" fillId="5" borderId="30" xfId="42" applyNumberFormat="1" applyFont="1" applyFill="1" applyBorder="1" applyAlignment="1">
      <alignment/>
    </xf>
    <xf numFmtId="3" fontId="16" fillId="5" borderId="69" xfId="63" applyNumberFormat="1" applyFont="1" applyFill="1" applyBorder="1" applyAlignment="1">
      <alignment horizontal="center"/>
      <protection/>
    </xf>
    <xf numFmtId="3" fontId="16" fillId="0" borderId="66" xfId="63" applyNumberFormat="1" applyFont="1" applyBorder="1" applyAlignment="1">
      <alignment horizontal="center" vertical="center"/>
      <protection/>
    </xf>
    <xf numFmtId="3" fontId="17" fillId="0" borderId="18" xfId="63" applyNumberFormat="1" applyFont="1" applyBorder="1" applyAlignment="1">
      <alignment horizontal="center"/>
      <protection/>
    </xf>
    <xf numFmtId="3" fontId="17" fillId="0" borderId="17" xfId="63" applyNumberFormat="1" applyFont="1" applyBorder="1" applyAlignment="1">
      <alignment horizontal="center"/>
      <protection/>
    </xf>
    <xf numFmtId="3" fontId="17" fillId="0" borderId="69" xfId="63" applyNumberFormat="1" applyFont="1" applyBorder="1" applyAlignment="1">
      <alignment horizontal="center"/>
      <protection/>
    </xf>
    <xf numFmtId="3" fontId="17" fillId="0" borderId="106" xfId="63" applyNumberFormat="1" applyFont="1" applyBorder="1" applyAlignment="1">
      <alignment horizontal="center"/>
      <protection/>
    </xf>
    <xf numFmtId="3" fontId="16" fillId="0" borderId="0" xfId="63" applyNumberFormat="1" applyFont="1" applyAlignment="1">
      <alignment horizontal="center"/>
      <protection/>
    </xf>
    <xf numFmtId="0" fontId="6" fillId="0" borderId="0" xfId="63" applyFont="1" applyFill="1" applyAlignment="1">
      <alignment horizontal="center" vertical="center"/>
      <protection/>
    </xf>
    <xf numFmtId="0" fontId="6" fillId="0" borderId="0" xfId="63" applyFont="1" applyFill="1">
      <alignment/>
      <protection/>
    </xf>
    <xf numFmtId="0" fontId="6" fillId="0" borderId="0" xfId="0" applyFont="1" applyFill="1" applyAlignment="1">
      <alignment/>
    </xf>
    <xf numFmtId="0" fontId="17" fillId="0" borderId="0" xfId="63" applyFont="1" applyFill="1" applyAlignment="1">
      <alignment horizontal="center" vertical="center"/>
      <protection/>
    </xf>
    <xf numFmtId="0" fontId="26" fillId="0" borderId="0" xfId="0" applyFont="1" applyFill="1" applyAlignment="1">
      <alignment/>
    </xf>
    <xf numFmtId="0" fontId="17" fillId="0" borderId="0" xfId="0" applyFont="1" applyFill="1" applyAlignment="1">
      <alignment horizontal="center" vertic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3" fontId="17" fillId="0" borderId="0" xfId="0" applyNumberFormat="1" applyFont="1" applyAlignment="1">
      <alignment/>
    </xf>
    <xf numFmtId="3" fontId="17" fillId="0" borderId="0" xfId="0" applyNumberFormat="1" applyFont="1" applyFill="1" applyAlignment="1">
      <alignment/>
    </xf>
    <xf numFmtId="3" fontId="20" fillId="0" borderId="118" xfId="0" applyNumberFormat="1" applyFont="1" applyBorder="1" applyAlignment="1">
      <alignment/>
    </xf>
    <xf numFmtId="3" fontId="21" fillId="0" borderId="67" xfId="0" applyNumberFormat="1" applyFont="1" applyBorder="1" applyAlignment="1">
      <alignment/>
    </xf>
    <xf numFmtId="3" fontId="20" fillId="0" borderId="20" xfId="0" applyNumberFormat="1" applyFont="1" applyBorder="1" applyAlignment="1">
      <alignment horizontal="center"/>
    </xf>
    <xf numFmtId="3" fontId="6" fillId="0" borderId="0" xfId="63" applyNumberFormat="1" applyFont="1" applyFill="1" applyProtection="1">
      <alignment/>
      <protection locked="0"/>
    </xf>
    <xf numFmtId="3" fontId="6" fillId="0" borderId="0" xfId="63" applyNumberFormat="1" applyFont="1" applyFill="1">
      <alignment/>
      <protection/>
    </xf>
    <xf numFmtId="3" fontId="9" fillId="0" borderId="0" xfId="63" applyNumberFormat="1" applyFill="1">
      <alignment/>
      <protection/>
    </xf>
    <xf numFmtId="3" fontId="5" fillId="0" borderId="0" xfId="63" applyNumberFormat="1" applyFont="1" applyFill="1" applyProtection="1">
      <alignment/>
      <protection/>
    </xf>
    <xf numFmtId="3" fontId="6" fillId="0" borderId="0" xfId="63" applyNumberFormat="1" applyFont="1" applyFill="1" applyProtection="1">
      <alignment/>
      <protection/>
    </xf>
    <xf numFmtId="3" fontId="9" fillId="0" borderId="0" xfId="63" applyNumberFormat="1" applyFill="1" applyProtection="1">
      <alignment/>
      <protection locked="0"/>
    </xf>
    <xf numFmtId="3" fontId="8" fillId="0" borderId="0" xfId="63" applyNumberFormat="1" applyFont="1" applyFill="1">
      <alignment/>
      <protection/>
    </xf>
    <xf numFmtId="3" fontId="30" fillId="0" borderId="0" xfId="63" applyNumberFormat="1" applyFont="1" applyFill="1">
      <alignment/>
      <protection/>
    </xf>
    <xf numFmtId="3" fontId="16" fillId="0" borderId="66" xfId="63" applyNumberFormat="1" applyFont="1" applyFill="1" applyBorder="1" applyAlignment="1">
      <alignment horizontal="center" vertical="center" wrapText="1"/>
      <protection/>
    </xf>
    <xf numFmtId="3" fontId="16" fillId="0" borderId="22" xfId="63" applyNumberFormat="1" applyFont="1" applyFill="1" applyBorder="1" applyAlignment="1">
      <alignment horizontal="center" vertical="center" wrapText="1"/>
      <protection/>
    </xf>
    <xf numFmtId="3" fontId="16" fillId="0" borderId="23" xfId="63" applyNumberFormat="1" applyFont="1" applyFill="1" applyBorder="1" applyAlignment="1">
      <alignment horizontal="center" vertical="center" wrapText="1"/>
      <protection/>
    </xf>
    <xf numFmtId="3" fontId="31" fillId="0" borderId="0" xfId="63" applyNumberFormat="1" applyFont="1" applyFill="1" applyAlignment="1">
      <alignment horizontal="center" vertical="center" wrapText="1"/>
      <protection/>
    </xf>
    <xf numFmtId="3" fontId="14" fillId="0" borderId="18" xfId="63" applyNumberFormat="1" applyFont="1" applyFill="1" applyBorder="1" applyAlignment="1">
      <alignment horizontal="center" vertical="center"/>
      <protection/>
    </xf>
    <xf numFmtId="3" fontId="14" fillId="0" borderId="16" xfId="63" applyNumberFormat="1" applyFont="1" applyFill="1" applyBorder="1" applyAlignment="1">
      <alignment vertical="center" wrapText="1"/>
      <protection/>
    </xf>
    <xf numFmtId="3" fontId="14" fillId="0" borderId="16" xfId="63" applyNumberFormat="1" applyFont="1" applyFill="1" applyBorder="1" applyAlignment="1" applyProtection="1">
      <alignment vertical="center"/>
      <protection locked="0"/>
    </xf>
    <xf numFmtId="3" fontId="32" fillId="0" borderId="14" xfId="63" applyNumberFormat="1" applyFont="1" applyFill="1" applyBorder="1" applyAlignment="1">
      <alignment vertical="center"/>
      <protection/>
    </xf>
    <xf numFmtId="3" fontId="14" fillId="0" borderId="17" xfId="63" applyNumberFormat="1" applyFont="1" applyFill="1" applyBorder="1" applyAlignment="1">
      <alignment horizontal="center" vertical="center"/>
      <protection/>
    </xf>
    <xf numFmtId="3" fontId="14" fillId="0" borderId="10" xfId="63" applyNumberFormat="1" applyFont="1" applyFill="1" applyBorder="1" applyAlignment="1">
      <alignment vertical="center" wrapText="1"/>
      <protection/>
    </xf>
    <xf numFmtId="3" fontId="14" fillId="0" borderId="10" xfId="63" applyNumberFormat="1" applyFont="1" applyFill="1" applyBorder="1" applyAlignment="1" applyProtection="1">
      <alignment vertical="center"/>
      <protection locked="0"/>
    </xf>
    <xf numFmtId="3" fontId="32" fillId="0" borderId="24" xfId="63" applyNumberFormat="1" applyFont="1" applyFill="1" applyBorder="1" applyAlignment="1">
      <alignment vertical="center"/>
      <protection/>
    </xf>
    <xf numFmtId="3" fontId="14" fillId="0" borderId="69" xfId="63" applyNumberFormat="1" applyFont="1" applyFill="1" applyBorder="1" applyAlignment="1">
      <alignment horizontal="center" vertical="center"/>
      <protection/>
    </xf>
    <xf numFmtId="3" fontId="14" fillId="0" borderId="32" xfId="63" applyNumberFormat="1" applyFont="1" applyFill="1" applyBorder="1" applyAlignment="1">
      <alignment vertical="center" wrapText="1"/>
      <protection/>
    </xf>
    <xf numFmtId="3" fontId="14" fillId="0" borderId="32" xfId="63" applyNumberFormat="1" applyFont="1" applyFill="1" applyBorder="1" applyAlignment="1" applyProtection="1">
      <alignment vertical="center"/>
      <protection locked="0"/>
    </xf>
    <xf numFmtId="3" fontId="32" fillId="0" borderId="33" xfId="63" applyNumberFormat="1" applyFont="1" applyFill="1" applyBorder="1" applyAlignment="1">
      <alignment vertical="center"/>
      <protection/>
    </xf>
    <xf numFmtId="3" fontId="32" fillId="0" borderId="66" xfId="63" applyNumberFormat="1" applyFont="1" applyFill="1" applyBorder="1" applyAlignment="1">
      <alignment horizontal="center" vertical="center"/>
      <protection/>
    </xf>
    <xf numFmtId="3" fontId="32" fillId="0" borderId="22" xfId="63" applyNumberFormat="1" applyFont="1" applyFill="1" applyBorder="1" applyAlignment="1">
      <alignment vertical="center"/>
      <protection/>
    </xf>
    <xf numFmtId="3" fontId="32" fillId="0" borderId="23" xfId="63" applyNumberFormat="1" applyFont="1" applyFill="1" applyBorder="1" applyAlignment="1">
      <alignment vertical="center"/>
      <protection/>
    </xf>
    <xf numFmtId="3" fontId="31" fillId="0" borderId="0" xfId="63" applyNumberFormat="1" applyFont="1" applyFill="1">
      <alignment/>
      <protection/>
    </xf>
    <xf numFmtId="3" fontId="9" fillId="0" borderId="0" xfId="63" applyNumberFormat="1" applyFill="1" applyAlignment="1">
      <alignment horizontal="center"/>
      <protection/>
    </xf>
    <xf numFmtId="3" fontId="9" fillId="0" borderId="119" xfId="63" applyNumberFormat="1" applyFill="1" applyBorder="1" applyAlignment="1">
      <alignment/>
      <protection/>
    </xf>
    <xf numFmtId="3" fontId="33" fillId="0" borderId="119" xfId="63" applyNumberFormat="1" applyFont="1" applyFill="1" applyBorder="1" applyAlignment="1">
      <alignment/>
      <protection/>
    </xf>
    <xf numFmtId="3" fontId="9" fillId="0" borderId="0" xfId="63" applyNumberFormat="1" applyFill="1" applyBorder="1">
      <alignment/>
      <protection/>
    </xf>
    <xf numFmtId="3" fontId="33" fillId="0" borderId="0" xfId="63" applyNumberFormat="1" applyFont="1" applyFill="1" applyBorder="1" applyAlignment="1">
      <alignment horizontal="center"/>
      <protection/>
    </xf>
    <xf numFmtId="0" fontId="34" fillId="0" borderId="0" xfId="63" applyFont="1">
      <alignment/>
      <protection/>
    </xf>
    <xf numFmtId="3" fontId="24" fillId="0" borderId="0" xfId="83" applyNumberFormat="1" applyFont="1" applyFill="1" applyAlignment="1">
      <alignment horizontal="right" vertical="top"/>
      <protection/>
    </xf>
    <xf numFmtId="0" fontId="35" fillId="0" borderId="52" xfId="63" applyFont="1" applyBorder="1" applyAlignment="1">
      <alignment horizontal="right"/>
      <protection/>
    </xf>
    <xf numFmtId="0" fontId="21" fillId="0" borderId="0" xfId="63" applyNumberFormat="1" applyFont="1" applyAlignment="1">
      <alignment vertical="top"/>
      <protection/>
    </xf>
    <xf numFmtId="3" fontId="21" fillId="0" borderId="0" xfId="63" applyNumberFormat="1" applyFont="1" applyAlignment="1">
      <alignment vertical="top"/>
      <protection/>
    </xf>
    <xf numFmtId="3" fontId="23" fillId="0" borderId="0" xfId="63" applyNumberFormat="1" applyFont="1" applyFill="1" applyAlignment="1">
      <alignment horizontal="right" vertical="top"/>
      <protection/>
    </xf>
    <xf numFmtId="0" fontId="21" fillId="0" borderId="0" xfId="63" applyNumberFormat="1" applyFont="1" applyAlignment="1">
      <alignment vertical="top" wrapText="1"/>
      <protection/>
    </xf>
    <xf numFmtId="3" fontId="20" fillId="0" borderId="10" xfId="63" applyNumberFormat="1" applyFont="1" applyBorder="1" applyAlignment="1">
      <alignment vertical="top" wrapText="1"/>
      <protection/>
    </xf>
    <xf numFmtId="3" fontId="20" fillId="0" borderId="0" xfId="63" applyNumberFormat="1" applyFont="1" applyBorder="1" applyAlignment="1">
      <alignment vertical="top" wrapText="1"/>
      <protection/>
    </xf>
    <xf numFmtId="3" fontId="21" fillId="0" borderId="0" xfId="63" applyNumberFormat="1" applyFont="1" applyAlignment="1">
      <alignment vertical="top" wrapText="1"/>
      <protection/>
    </xf>
    <xf numFmtId="3" fontId="21" fillId="0" borderId="0" xfId="63" applyNumberFormat="1" applyFont="1" applyBorder="1" applyAlignment="1">
      <alignment vertical="top" wrapText="1"/>
      <protection/>
    </xf>
    <xf numFmtId="0" fontId="21" fillId="0" borderId="0" xfId="63" applyNumberFormat="1" applyFont="1" applyAlignment="1">
      <alignment horizontal="justify" vertical="top"/>
      <protection/>
    </xf>
    <xf numFmtId="0" fontId="20" fillId="0" borderId="0" xfId="63" applyNumberFormat="1" applyFont="1" applyAlignment="1">
      <alignment vertical="top"/>
      <protection/>
    </xf>
    <xf numFmtId="0" fontId="36" fillId="0" borderId="0" xfId="63" applyNumberFormat="1" applyFont="1" applyAlignment="1">
      <alignment vertical="top"/>
      <protection/>
    </xf>
    <xf numFmtId="0" fontId="20" fillId="0" borderId="0" xfId="63" applyNumberFormat="1" applyFont="1" applyAlignment="1">
      <alignment vertical="top" wrapText="1"/>
      <protection/>
    </xf>
    <xf numFmtId="0" fontId="24" fillId="0" borderId="0" xfId="63" applyNumberFormat="1" applyFont="1" applyAlignment="1">
      <alignment vertical="top"/>
      <protection/>
    </xf>
    <xf numFmtId="3" fontId="24" fillId="0" borderId="0" xfId="63" applyNumberFormat="1" applyFont="1" applyAlignment="1">
      <alignment vertical="top"/>
      <protection/>
    </xf>
    <xf numFmtId="0" fontId="20" fillId="0" borderId="0" xfId="63" applyNumberFormat="1" applyFont="1" applyAlignment="1">
      <alignment horizontal="justify" vertical="top"/>
      <protection/>
    </xf>
    <xf numFmtId="3" fontId="20" fillId="5" borderId="42" xfId="63" applyNumberFormat="1" applyFont="1" applyFill="1" applyBorder="1" applyAlignment="1">
      <alignment vertical="top" wrapText="1"/>
      <protection/>
    </xf>
    <xf numFmtId="49" fontId="24" fillId="0" borderId="0" xfId="63" applyNumberFormat="1" applyFont="1" applyAlignment="1">
      <alignment horizontal="center" vertical="top"/>
      <protection/>
    </xf>
    <xf numFmtId="49" fontId="20" fillId="0" borderId="0" xfId="63" applyNumberFormat="1" applyFont="1" applyAlignment="1">
      <alignment horizontal="center" vertical="top"/>
      <protection/>
    </xf>
    <xf numFmtId="49" fontId="20" fillId="0" borderId="0" xfId="63" applyNumberFormat="1" applyFont="1" applyAlignment="1">
      <alignment horizontal="center" vertical="top" wrapText="1"/>
      <protection/>
    </xf>
    <xf numFmtId="49" fontId="21" fillId="0" borderId="0" xfId="63" applyNumberFormat="1" applyFont="1" applyAlignment="1">
      <alignment horizontal="center" vertical="top" wrapText="1"/>
      <protection/>
    </xf>
    <xf numFmtId="49" fontId="21" fillId="0" borderId="0" xfId="63" applyNumberFormat="1" applyFont="1" applyAlignment="1">
      <alignment horizontal="center" vertical="top"/>
      <protection/>
    </xf>
    <xf numFmtId="3" fontId="6" fillId="0" borderId="0" xfId="63" applyNumberFormat="1" applyFont="1" applyAlignment="1">
      <alignment horizontal="center"/>
      <protection/>
    </xf>
    <xf numFmtId="3" fontId="6" fillId="0" borderId="0" xfId="63" applyNumberFormat="1" applyFont="1">
      <alignment/>
      <protection/>
    </xf>
    <xf numFmtId="3" fontId="10" fillId="0" borderId="0" xfId="63" applyNumberFormat="1" applyFont="1">
      <alignment/>
      <protection/>
    </xf>
    <xf numFmtId="3" fontId="10" fillId="0" borderId="0" xfId="63" applyNumberFormat="1" applyFont="1" applyAlignment="1">
      <alignment horizontal="center"/>
      <protection/>
    </xf>
    <xf numFmtId="0" fontId="38" fillId="0" borderId="0" xfId="84" applyFont="1" applyAlignment="1">
      <alignment/>
      <protection/>
    </xf>
    <xf numFmtId="0" fontId="34" fillId="0" borderId="0" xfId="84" applyFont="1">
      <alignment/>
      <protection/>
    </xf>
    <xf numFmtId="0" fontId="34" fillId="0" borderId="0" xfId="84" applyFont="1" applyAlignment="1">
      <alignment wrapText="1"/>
      <protection/>
    </xf>
    <xf numFmtId="0" fontId="38" fillId="0" borderId="0" xfId="84" applyFont="1">
      <alignment/>
      <protection/>
    </xf>
    <xf numFmtId="0" fontId="38" fillId="0" borderId="0" xfId="84" applyFont="1" applyAlignment="1">
      <alignment horizontal="left" vertical="top" wrapText="1"/>
      <protection/>
    </xf>
    <xf numFmtId="0" fontId="38" fillId="0" borderId="0" xfId="84" applyFont="1" applyAlignment="1">
      <alignment wrapText="1"/>
      <protection/>
    </xf>
    <xf numFmtId="0" fontId="34" fillId="0" borderId="0" xfId="84" applyFont="1" applyAlignment="1">
      <alignment horizontal="left" vertical="top" wrapText="1"/>
      <protection/>
    </xf>
    <xf numFmtId="0" fontId="34" fillId="0" borderId="0" xfId="84" applyFont="1" applyAlignment="1">
      <alignment/>
      <protection/>
    </xf>
    <xf numFmtId="0" fontId="34" fillId="0" borderId="0" xfId="84" applyFont="1" applyFill="1" applyAlignment="1">
      <alignment horizontal="left" vertical="top" wrapText="1"/>
      <protection/>
    </xf>
    <xf numFmtId="0" fontId="34" fillId="0" borderId="0" xfId="82" applyFont="1" applyAlignment="1">
      <alignment/>
      <protection/>
    </xf>
    <xf numFmtId="0" fontId="34" fillId="0" borderId="0" xfId="80" applyFont="1">
      <alignment/>
      <protection/>
    </xf>
    <xf numFmtId="0" fontId="34" fillId="0" borderId="0" xfId="80" applyFont="1" applyAlignment="1">
      <alignment wrapText="1"/>
      <protection/>
    </xf>
    <xf numFmtId="0" fontId="38" fillId="0" borderId="0" xfId="84" applyFont="1" applyFill="1" applyAlignment="1">
      <alignment horizontal="left" vertical="top" wrapText="1"/>
      <protection/>
    </xf>
    <xf numFmtId="0" fontId="34" fillId="0" borderId="0" xfId="0" applyFont="1" applyAlignment="1">
      <alignment/>
    </xf>
    <xf numFmtId="0" fontId="17" fillId="0" borderId="69" xfId="63" applyFont="1" applyBorder="1" applyAlignment="1">
      <alignment horizontal="center" wrapText="1"/>
      <protection/>
    </xf>
    <xf numFmtId="0" fontId="17" fillId="0" borderId="32" xfId="63" applyFont="1" applyBorder="1" applyAlignment="1">
      <alignment horizontal="center" wrapText="1"/>
      <protection/>
    </xf>
    <xf numFmtId="0" fontId="17" fillId="0" borderId="33" xfId="63" applyFont="1" applyBorder="1" applyAlignment="1">
      <alignment horizontal="center"/>
      <protection/>
    </xf>
    <xf numFmtId="0" fontId="17" fillId="0" borderId="96" xfId="63" applyFont="1" applyBorder="1" applyAlignment="1">
      <alignment wrapText="1"/>
      <protection/>
    </xf>
    <xf numFmtId="3" fontId="17" fillId="0" borderId="96" xfId="63" applyNumberFormat="1" applyFont="1" applyBorder="1" applyAlignment="1">
      <alignment wrapText="1"/>
      <protection/>
    </xf>
    <xf numFmtId="3" fontId="17" fillId="0" borderId="77" xfId="63" applyNumberFormat="1" applyFont="1" applyBorder="1" applyAlignment="1">
      <alignment wrapText="1"/>
      <protection/>
    </xf>
    <xf numFmtId="0" fontId="17" fillId="0" borderId="97" xfId="63" applyFont="1" applyBorder="1" applyAlignment="1">
      <alignment wrapText="1"/>
      <protection/>
    </xf>
    <xf numFmtId="0" fontId="16" fillId="0" borderId="72" xfId="63" applyFont="1" applyBorder="1" applyAlignment="1">
      <alignment wrapText="1"/>
      <protection/>
    </xf>
    <xf numFmtId="3" fontId="16" fillId="0" borderId="72" xfId="63" applyNumberFormat="1" applyFont="1" applyBorder="1" applyAlignment="1">
      <alignment wrapText="1"/>
      <protection/>
    </xf>
    <xf numFmtId="3" fontId="16" fillId="0" borderId="71" xfId="63" applyNumberFormat="1" applyFont="1" applyBorder="1" applyAlignment="1">
      <alignment wrapText="1"/>
      <protection/>
    </xf>
    <xf numFmtId="0" fontId="26" fillId="0" borderId="97" xfId="63" applyFont="1" applyBorder="1" applyAlignment="1">
      <alignment wrapText="1"/>
      <protection/>
    </xf>
    <xf numFmtId="3" fontId="26" fillId="0" borderId="97" xfId="63" applyNumberFormat="1" applyFont="1" applyBorder="1" applyAlignment="1">
      <alignment wrapText="1"/>
      <protection/>
    </xf>
    <xf numFmtId="3" fontId="26" fillId="0" borderId="81" xfId="63" applyNumberFormat="1" applyFont="1" applyBorder="1" applyAlignment="1">
      <alignment wrapText="1"/>
      <protection/>
    </xf>
    <xf numFmtId="3" fontId="17" fillId="0" borderId="97" xfId="63" applyNumberFormat="1" applyFont="1" applyBorder="1" applyAlignment="1">
      <alignment wrapText="1"/>
      <protection/>
    </xf>
    <xf numFmtId="3" fontId="17" fillId="0" borderId="81" xfId="63" applyNumberFormat="1" applyFont="1" applyBorder="1" applyAlignment="1">
      <alignment wrapText="1"/>
      <protection/>
    </xf>
    <xf numFmtId="0" fontId="17" fillId="0" borderId="98" xfId="63" applyFont="1" applyBorder="1" applyAlignment="1">
      <alignment wrapText="1"/>
      <protection/>
    </xf>
    <xf numFmtId="3" fontId="17" fillId="0" borderId="85" xfId="63" applyNumberFormat="1" applyFont="1" applyBorder="1" applyAlignment="1">
      <alignment wrapText="1"/>
      <protection/>
    </xf>
    <xf numFmtId="3" fontId="17" fillId="0" borderId="98" xfId="63" applyNumberFormat="1" applyFont="1" applyBorder="1" applyAlignment="1">
      <alignment wrapText="1"/>
      <protection/>
    </xf>
    <xf numFmtId="0" fontId="16" fillId="0" borderId="99" xfId="63" applyFont="1" applyBorder="1" applyAlignment="1">
      <alignment wrapText="1"/>
      <protection/>
    </xf>
    <xf numFmtId="3" fontId="16" fillId="0" borderId="99" xfId="63" applyNumberFormat="1" applyFont="1" applyBorder="1" applyAlignment="1">
      <alignment wrapText="1"/>
      <protection/>
    </xf>
    <xf numFmtId="3" fontId="16" fillId="0" borderId="92" xfId="63" applyNumberFormat="1" applyFont="1" applyBorder="1" applyAlignment="1">
      <alignment wrapText="1"/>
      <protection/>
    </xf>
    <xf numFmtId="0" fontId="16" fillId="0" borderId="0" xfId="63" applyFont="1" applyAlignment="1">
      <alignment horizontal="center" vertical="center" wrapText="1"/>
      <protection/>
    </xf>
    <xf numFmtId="0" fontId="39" fillId="0" borderId="0" xfId="83" applyFont="1" applyFill="1">
      <alignment/>
      <protection/>
    </xf>
    <xf numFmtId="0" fontId="16" fillId="0" borderId="0" xfId="83" applyFont="1" applyFill="1">
      <alignment/>
      <protection/>
    </xf>
    <xf numFmtId="0" fontId="26" fillId="0" borderId="0" xfId="83" applyFont="1" applyFill="1">
      <alignment/>
      <protection/>
    </xf>
    <xf numFmtId="0" fontId="10" fillId="0" borderId="0" xfId="63" applyFont="1">
      <alignment/>
      <protection/>
    </xf>
    <xf numFmtId="0" fontId="17" fillId="0" borderId="0" xfId="0" applyFont="1" applyAlignment="1">
      <alignment horizontal="left"/>
    </xf>
    <xf numFmtId="3" fontId="22" fillId="0" borderId="26" xfId="0" applyNumberFormat="1" applyFont="1" applyFill="1" applyBorder="1" applyAlignment="1">
      <alignment/>
    </xf>
    <xf numFmtId="3" fontId="22" fillId="0" borderId="10" xfId="0" applyNumberFormat="1" applyFont="1" applyFill="1" applyBorder="1" applyAlignment="1">
      <alignment/>
    </xf>
    <xf numFmtId="3" fontId="22" fillId="0" borderId="24" xfId="0" applyNumberFormat="1" applyFont="1" applyFill="1" applyBorder="1" applyAlignment="1">
      <alignment/>
    </xf>
    <xf numFmtId="3" fontId="21" fillId="0" borderId="26" xfId="0" applyNumberFormat="1" applyFont="1" applyFill="1" applyBorder="1" applyAlignment="1">
      <alignment/>
    </xf>
    <xf numFmtId="3" fontId="21" fillId="0" borderId="10" xfId="0" applyNumberFormat="1" applyFont="1" applyFill="1" applyBorder="1" applyAlignment="1">
      <alignment/>
    </xf>
    <xf numFmtId="3" fontId="21" fillId="0" borderId="24" xfId="0" applyNumberFormat="1" applyFont="1" applyFill="1" applyBorder="1" applyAlignment="1">
      <alignment/>
    </xf>
    <xf numFmtId="3" fontId="21" fillId="0" borderId="31" xfId="0" applyNumberFormat="1" applyFont="1" applyFill="1" applyBorder="1" applyAlignment="1">
      <alignment/>
    </xf>
    <xf numFmtId="3" fontId="21" fillId="0" borderId="32" xfId="0" applyNumberFormat="1" applyFont="1" applyFill="1" applyBorder="1" applyAlignment="1">
      <alignment/>
    </xf>
    <xf numFmtId="3" fontId="21" fillId="0" borderId="33" xfId="0" applyNumberFormat="1" applyFont="1" applyFill="1" applyBorder="1" applyAlignment="1">
      <alignment/>
    </xf>
    <xf numFmtId="4" fontId="6" fillId="0" borderId="0" xfId="63" applyNumberFormat="1" applyFont="1" applyFill="1" applyAlignment="1">
      <alignment horizontal="right"/>
      <protection/>
    </xf>
    <xf numFmtId="186" fontId="6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186" fontId="10" fillId="0" borderId="0" xfId="0" applyNumberFormat="1" applyFont="1" applyFill="1" applyAlignment="1">
      <alignment/>
    </xf>
    <xf numFmtId="0" fontId="17" fillId="0" borderId="0" xfId="63" applyFont="1" applyFill="1">
      <alignment/>
      <protection/>
    </xf>
    <xf numFmtId="186" fontId="17" fillId="0" borderId="0" xfId="0" applyNumberFormat="1" applyFont="1" applyFill="1" applyAlignment="1">
      <alignment/>
    </xf>
    <xf numFmtId="0" fontId="16" fillId="0" borderId="0" xfId="0" applyFont="1" applyFill="1" applyAlignment="1">
      <alignment/>
    </xf>
    <xf numFmtId="186" fontId="16" fillId="0" borderId="0" xfId="0" applyNumberFormat="1" applyFont="1" applyFill="1" applyAlignment="1">
      <alignment/>
    </xf>
    <xf numFmtId="183" fontId="16" fillId="0" borderId="18" xfId="63" applyNumberFormat="1" applyFont="1" applyFill="1" applyBorder="1" applyAlignment="1">
      <alignment horizontal="center" vertical="center"/>
      <protection/>
    </xf>
    <xf numFmtId="183" fontId="16" fillId="0" borderId="15" xfId="63" applyNumberFormat="1" applyFont="1" applyFill="1" applyBorder="1" applyAlignment="1">
      <alignment horizontal="center" vertical="center" wrapText="1"/>
      <protection/>
    </xf>
    <xf numFmtId="183" fontId="16" fillId="0" borderId="37" xfId="63" applyNumberFormat="1" applyFont="1" applyFill="1" applyBorder="1" applyAlignment="1">
      <alignment horizontal="center" vertical="center" wrapText="1"/>
      <protection/>
    </xf>
    <xf numFmtId="0" fontId="17" fillId="0" borderId="58" xfId="63" applyFont="1" applyFill="1" applyBorder="1" applyAlignment="1">
      <alignment horizontal="center" vertical="center"/>
      <protection/>
    </xf>
    <xf numFmtId="183" fontId="17" fillId="0" borderId="58" xfId="63" applyNumberFormat="1" applyFont="1" applyFill="1" applyBorder="1" applyAlignment="1">
      <alignment horizontal="center" vertical="center"/>
      <protection/>
    </xf>
    <xf numFmtId="183" fontId="16" fillId="0" borderId="27" xfId="63" applyNumberFormat="1" applyFont="1" applyFill="1" applyBorder="1" applyAlignment="1">
      <alignment horizontal="center" vertical="center" wrapText="1"/>
      <protection/>
    </xf>
    <xf numFmtId="0" fontId="16" fillId="0" borderId="101" xfId="63" applyFont="1" applyFill="1" applyBorder="1" applyAlignment="1">
      <alignment horizontal="left"/>
      <protection/>
    </xf>
    <xf numFmtId="183" fontId="16" fillId="0" borderId="101" xfId="63" applyNumberFormat="1" applyFont="1" applyFill="1" applyBorder="1" applyAlignment="1">
      <alignment/>
      <protection/>
    </xf>
    <xf numFmtId="183" fontId="16" fillId="0" borderId="15" xfId="63" applyNumberFormat="1" applyFont="1" applyFill="1" applyBorder="1" applyAlignment="1">
      <alignment/>
      <protection/>
    </xf>
    <xf numFmtId="183" fontId="16" fillId="0" borderId="37" xfId="63" applyNumberFormat="1" applyFont="1" applyFill="1" applyBorder="1" applyAlignment="1">
      <alignment/>
      <protection/>
    </xf>
    <xf numFmtId="183" fontId="17" fillId="0" borderId="0" xfId="0" applyNumberFormat="1" applyFont="1" applyFill="1" applyAlignment="1">
      <alignment/>
    </xf>
    <xf numFmtId="0" fontId="17" fillId="0" borderId="101" xfId="63" applyFont="1" applyFill="1" applyBorder="1" applyAlignment="1">
      <alignment horizontal="left" indent="1"/>
      <protection/>
    </xf>
    <xf numFmtId="183" fontId="17" fillId="0" borderId="101" xfId="63" applyNumberFormat="1" applyFont="1" applyFill="1" applyBorder="1" applyAlignment="1">
      <alignment/>
      <protection/>
    </xf>
    <xf numFmtId="183" fontId="17" fillId="0" borderId="15" xfId="63" applyNumberFormat="1" applyFont="1" applyFill="1" applyBorder="1" applyAlignment="1">
      <alignment/>
      <protection/>
    </xf>
    <xf numFmtId="0" fontId="17" fillId="0" borderId="59" xfId="63" applyFont="1" applyFill="1" applyBorder="1" applyAlignment="1">
      <alignment horizontal="left" indent="1"/>
      <protection/>
    </xf>
    <xf numFmtId="183" fontId="17" fillId="0" borderId="59" xfId="63" applyNumberFormat="1" applyFont="1" applyFill="1" applyBorder="1" applyAlignment="1">
      <alignment/>
      <protection/>
    </xf>
    <xf numFmtId="183" fontId="17" fillId="0" borderId="65" xfId="63" applyNumberFormat="1" applyFont="1" applyFill="1" applyBorder="1" applyAlignment="1">
      <alignment/>
      <protection/>
    </xf>
    <xf numFmtId="0" fontId="17" fillId="0" borderId="105" xfId="63" applyFont="1" applyFill="1" applyBorder="1" applyAlignment="1">
      <alignment horizontal="left" indent="2"/>
      <protection/>
    </xf>
    <xf numFmtId="183" fontId="17" fillId="0" borderId="105" xfId="63" applyNumberFormat="1" applyFont="1" applyFill="1" applyBorder="1" applyAlignment="1">
      <alignment/>
      <protection/>
    </xf>
    <xf numFmtId="183" fontId="17" fillId="0" borderId="73" xfId="63" applyNumberFormat="1" applyFont="1" applyFill="1" applyBorder="1" applyAlignment="1">
      <alignment/>
      <protection/>
    </xf>
    <xf numFmtId="183" fontId="16" fillId="0" borderId="57" xfId="63" applyNumberFormat="1" applyFont="1" applyFill="1" applyBorder="1" applyAlignment="1">
      <alignment/>
      <protection/>
    </xf>
    <xf numFmtId="183" fontId="16" fillId="0" borderId="22" xfId="63" applyNumberFormat="1" applyFont="1" applyFill="1" applyBorder="1" applyAlignment="1">
      <alignment/>
      <protection/>
    </xf>
    <xf numFmtId="183" fontId="16" fillId="0" borderId="23" xfId="63" applyNumberFormat="1" applyFont="1" applyFill="1" applyBorder="1" applyAlignment="1">
      <alignment/>
      <protection/>
    </xf>
    <xf numFmtId="183" fontId="16" fillId="0" borderId="42" xfId="63" applyNumberFormat="1" applyFont="1" applyFill="1" applyBorder="1" applyAlignment="1">
      <alignment/>
      <protection/>
    </xf>
    <xf numFmtId="0" fontId="16" fillId="0" borderId="58" xfId="63" applyFont="1" applyFill="1" applyBorder="1" applyAlignment="1">
      <alignment horizontal="left"/>
      <protection/>
    </xf>
    <xf numFmtId="183" fontId="16" fillId="0" borderId="58" xfId="63" applyNumberFormat="1" applyFont="1" applyFill="1" applyBorder="1" applyAlignment="1">
      <alignment/>
      <protection/>
    </xf>
    <xf numFmtId="183" fontId="16" fillId="0" borderId="27" xfId="63" applyNumberFormat="1" applyFont="1" applyFill="1" applyBorder="1" applyAlignment="1">
      <alignment/>
      <protection/>
    </xf>
    <xf numFmtId="0" fontId="16" fillId="0" borderId="59" xfId="63" applyFont="1" applyFill="1" applyBorder="1" applyAlignment="1">
      <alignment horizontal="left"/>
      <protection/>
    </xf>
    <xf numFmtId="183" fontId="16" fillId="0" borderId="59" xfId="63" applyNumberFormat="1" applyFont="1" applyFill="1" applyBorder="1" applyAlignment="1">
      <alignment/>
      <protection/>
    </xf>
    <xf numFmtId="0" fontId="16" fillId="0" borderId="105" xfId="63" applyFont="1" applyFill="1" applyBorder="1" applyAlignment="1">
      <alignment horizontal="left"/>
      <protection/>
    </xf>
    <xf numFmtId="183" fontId="16" fillId="0" borderId="105" xfId="63" applyNumberFormat="1" applyFont="1" applyFill="1" applyBorder="1" applyAlignment="1">
      <alignment/>
      <protection/>
    </xf>
    <xf numFmtId="183" fontId="16" fillId="0" borderId="73" xfId="63" applyNumberFormat="1" applyFont="1" applyFill="1" applyBorder="1" applyAlignment="1">
      <alignment/>
      <protection/>
    </xf>
    <xf numFmtId="0" fontId="17" fillId="0" borderId="101" xfId="63" applyFont="1" applyFill="1" applyBorder="1" applyAlignment="1">
      <alignment horizontal="left"/>
      <protection/>
    </xf>
    <xf numFmtId="183" fontId="17" fillId="0" borderId="16" xfId="63" applyNumberFormat="1" applyFont="1" applyFill="1" applyBorder="1" applyAlignment="1">
      <alignment/>
      <protection/>
    </xf>
    <xf numFmtId="0" fontId="16" fillId="0" borderId="57" xfId="63" applyFont="1" applyFill="1" applyBorder="1">
      <alignment/>
      <protection/>
    </xf>
    <xf numFmtId="183" fontId="16" fillId="0" borderId="68" xfId="63" applyNumberFormat="1" applyFont="1" applyFill="1" applyBorder="1" applyAlignment="1">
      <alignment/>
      <protection/>
    </xf>
    <xf numFmtId="4" fontId="17" fillId="0" borderId="58" xfId="63" applyNumberFormat="1" applyFont="1" applyFill="1" applyBorder="1" applyAlignment="1">
      <alignment horizontal="center" vertical="center"/>
      <protection/>
    </xf>
    <xf numFmtId="4" fontId="16" fillId="0" borderId="27" xfId="63" applyNumberFormat="1" applyFont="1" applyFill="1" applyBorder="1" applyAlignment="1">
      <alignment horizontal="center" vertical="center" wrapText="1"/>
      <protection/>
    </xf>
    <xf numFmtId="0" fontId="17" fillId="0" borderId="107" xfId="63" applyFont="1" applyFill="1" applyBorder="1" applyAlignment="1">
      <alignment horizontal="left" indent="1"/>
      <protection/>
    </xf>
    <xf numFmtId="183" fontId="17" fillId="0" borderId="107" xfId="63" applyNumberFormat="1" applyFont="1" applyFill="1" applyBorder="1" applyAlignment="1">
      <alignment/>
      <protection/>
    </xf>
    <xf numFmtId="183" fontId="17" fillId="0" borderId="70" xfId="63" applyNumberFormat="1" applyFont="1" applyFill="1" applyBorder="1" applyAlignment="1">
      <alignment/>
      <protection/>
    </xf>
    <xf numFmtId="0" fontId="16" fillId="0" borderId="57" xfId="0" applyFont="1" applyFill="1" applyBorder="1" applyAlignment="1">
      <alignment/>
    </xf>
    <xf numFmtId="186" fontId="16" fillId="0" borderId="42" xfId="0" applyNumberFormat="1" applyFont="1" applyFill="1" applyBorder="1" applyAlignment="1">
      <alignment/>
    </xf>
    <xf numFmtId="186" fontId="16" fillId="0" borderId="49" xfId="0" applyNumberFormat="1" applyFont="1" applyFill="1" applyBorder="1" applyAlignment="1">
      <alignment/>
    </xf>
    <xf numFmtId="186" fontId="16" fillId="0" borderId="22" xfId="0" applyNumberFormat="1" applyFont="1" applyFill="1" applyBorder="1" applyAlignment="1">
      <alignment/>
    </xf>
    <xf numFmtId="0" fontId="26" fillId="0" borderId="81" xfId="63" applyFont="1" applyBorder="1" applyAlignment="1">
      <alignment horizontal="left" wrapText="1" indent="14"/>
      <protection/>
    </xf>
    <xf numFmtId="3" fontId="26" fillId="0" borderId="30" xfId="63" applyNumberFormat="1" applyFont="1" applyFill="1" applyBorder="1" applyAlignment="1" applyProtection="1">
      <alignment horizontal="left" vertical="center" wrapText="1" indent="1"/>
      <protection locked="0"/>
    </xf>
    <xf numFmtId="0" fontId="26" fillId="0" borderId="81" xfId="63" applyFont="1" applyBorder="1" applyAlignment="1">
      <alignment horizontal="left" wrapText="1" indent="15"/>
      <protection/>
    </xf>
    <xf numFmtId="3" fontId="20" fillId="0" borderId="0" xfId="63" applyNumberFormat="1" applyFont="1" applyFill="1" applyBorder="1" applyAlignment="1">
      <alignment vertical="top" wrapText="1"/>
      <protection/>
    </xf>
    <xf numFmtId="0" fontId="21" fillId="0" borderId="0" xfId="63" applyNumberFormat="1" applyFont="1" applyAlignment="1">
      <alignment horizontal="justify" vertical="top" wrapText="1"/>
      <protection/>
    </xf>
    <xf numFmtId="0" fontId="21" fillId="0" borderId="0" xfId="63" applyFont="1" applyAlignment="1">
      <alignment horizontal="justify" vertical="top" wrapText="1"/>
      <protection/>
    </xf>
    <xf numFmtId="0" fontId="21" fillId="0" borderId="0" xfId="63" applyNumberFormat="1" applyFont="1" applyAlignment="1">
      <alignment horizontal="left" vertical="top" wrapText="1"/>
      <protection/>
    </xf>
    <xf numFmtId="0" fontId="20" fillId="0" borderId="0" xfId="63" applyNumberFormat="1" applyFont="1" applyAlignment="1">
      <alignment horizontal="center" vertical="top"/>
      <protection/>
    </xf>
    <xf numFmtId="0" fontId="21" fillId="0" borderId="0" xfId="63" applyNumberFormat="1" applyFont="1" applyBorder="1" applyAlignment="1">
      <alignment vertical="top" wrapText="1"/>
      <protection/>
    </xf>
    <xf numFmtId="3" fontId="20" fillId="0" borderId="50" xfId="63" applyNumberFormat="1" applyFont="1" applyBorder="1" applyAlignment="1">
      <alignment vertical="top" wrapText="1"/>
      <protection/>
    </xf>
    <xf numFmtId="3" fontId="23" fillId="5" borderId="10" xfId="63" applyNumberFormat="1" applyFont="1" applyFill="1" applyBorder="1" applyAlignment="1">
      <alignment vertical="top" wrapText="1"/>
      <protection/>
    </xf>
    <xf numFmtId="3" fontId="22" fillId="0" borderId="0" xfId="63" applyNumberFormat="1" applyFont="1" applyBorder="1" applyAlignment="1">
      <alignment vertical="top" wrapText="1"/>
      <protection/>
    </xf>
    <xf numFmtId="3" fontId="20" fillId="5" borderId="10" xfId="42" applyNumberFormat="1" applyFont="1" applyFill="1" applyBorder="1" applyAlignment="1">
      <alignment horizontal="right" vertical="top" wrapText="1"/>
    </xf>
    <xf numFmtId="3" fontId="21" fillId="0" borderId="0" xfId="63" applyNumberFormat="1" applyFont="1" applyAlignment="1">
      <alignment horizontal="right" vertical="top" wrapText="1"/>
      <protection/>
    </xf>
    <xf numFmtId="3" fontId="21" fillId="0" borderId="0" xfId="63" applyNumberFormat="1" applyFont="1" applyBorder="1" applyAlignment="1">
      <alignment horizontal="right" vertical="top" wrapText="1"/>
      <protection/>
    </xf>
    <xf numFmtId="0" fontId="42" fillId="0" borderId="0" xfId="63" applyFont="1" applyBorder="1" applyAlignment="1">
      <alignment vertical="center" wrapText="1"/>
      <protection/>
    </xf>
    <xf numFmtId="0" fontId="43" fillId="0" borderId="13" xfId="63" applyFont="1" applyBorder="1" applyAlignment="1">
      <alignment horizontal="center"/>
      <protection/>
    </xf>
    <xf numFmtId="0" fontId="43" fillId="0" borderId="11" xfId="63" applyFont="1" applyBorder="1" applyAlignment="1">
      <alignment horizontal="center"/>
      <protection/>
    </xf>
    <xf numFmtId="9" fontId="43" fillId="0" borderId="13" xfId="63" applyNumberFormat="1" applyFont="1" applyBorder="1" applyAlignment="1">
      <alignment horizontal="center"/>
      <protection/>
    </xf>
    <xf numFmtId="9" fontId="43" fillId="0" borderId="11" xfId="63" applyNumberFormat="1" applyFont="1" applyBorder="1" applyAlignment="1">
      <alignment horizontal="center"/>
      <protection/>
    </xf>
    <xf numFmtId="0" fontId="43" fillId="0" borderId="106" xfId="63" applyFont="1" applyBorder="1" applyAlignment="1">
      <alignment/>
      <protection/>
    </xf>
    <xf numFmtId="0" fontId="43" fillId="0" borderId="46" xfId="63" applyFont="1" applyBorder="1" applyAlignment="1">
      <alignment/>
      <protection/>
    </xf>
    <xf numFmtId="3" fontId="43" fillId="0" borderId="40" xfId="63" applyNumberFormat="1" applyFont="1" applyBorder="1" applyAlignment="1">
      <alignment/>
      <protection/>
    </xf>
    <xf numFmtId="0" fontId="43" fillId="0" borderId="69" xfId="63" applyFont="1" applyBorder="1" applyAlignment="1">
      <alignment/>
      <protection/>
    </xf>
    <xf numFmtId="0" fontId="43" fillId="0" borderId="24" xfId="63" applyFont="1" applyBorder="1" applyAlignment="1">
      <alignment/>
      <protection/>
    </xf>
    <xf numFmtId="3" fontId="43" fillId="0" borderId="33" xfId="63" applyNumberFormat="1" applyFont="1" applyBorder="1" applyAlignment="1">
      <alignment/>
      <protection/>
    </xf>
    <xf numFmtId="0" fontId="43" fillId="0" borderId="40" xfId="63" applyFont="1" applyBorder="1" applyAlignment="1">
      <alignment/>
      <protection/>
    </xf>
    <xf numFmtId="0" fontId="42" fillId="0" borderId="66" xfId="63" applyFont="1" applyBorder="1" applyAlignment="1">
      <alignment/>
      <protection/>
    </xf>
    <xf numFmtId="0" fontId="42" fillId="0" borderId="23" xfId="63" applyFont="1" applyBorder="1" applyAlignment="1">
      <alignment/>
      <protection/>
    </xf>
    <xf numFmtId="0" fontId="43" fillId="0" borderId="18" xfId="63" applyFont="1" applyBorder="1" applyAlignment="1">
      <alignment/>
      <protection/>
    </xf>
    <xf numFmtId="0" fontId="43" fillId="0" borderId="14" xfId="63" applyFont="1" applyBorder="1" applyAlignment="1">
      <alignment/>
      <protection/>
    </xf>
    <xf numFmtId="0" fontId="43" fillId="0" borderId="17" xfId="63" applyFont="1" applyBorder="1" applyAlignment="1">
      <alignment/>
      <protection/>
    </xf>
    <xf numFmtId="0" fontId="43" fillId="0" borderId="33" xfId="63" applyFont="1" applyBorder="1" applyAlignment="1">
      <alignment/>
      <protection/>
    </xf>
    <xf numFmtId="0" fontId="43" fillId="0" borderId="13" xfId="63" applyFont="1" applyBorder="1" applyAlignment="1">
      <alignment/>
      <protection/>
    </xf>
    <xf numFmtId="0" fontId="43" fillId="0" borderId="11" xfId="63" applyFont="1" applyBorder="1" applyAlignment="1">
      <alignment/>
      <protection/>
    </xf>
    <xf numFmtId="0" fontId="42" fillId="0" borderId="66" xfId="63" applyFont="1" applyFill="1" applyBorder="1" applyAlignment="1">
      <alignment/>
      <protection/>
    </xf>
    <xf numFmtId="0" fontId="42" fillId="0" borderId="23" xfId="63" applyFont="1" applyFill="1" applyBorder="1" applyAlignment="1">
      <alignment/>
      <protection/>
    </xf>
    <xf numFmtId="3" fontId="16" fillId="0" borderId="64" xfId="85" applyNumberFormat="1" applyFont="1" applyFill="1" applyBorder="1" applyAlignment="1" applyProtection="1">
      <alignment vertical="center"/>
      <protection locked="0"/>
    </xf>
    <xf numFmtId="3" fontId="16" fillId="0" borderId="15" xfId="85" applyNumberFormat="1" applyFont="1" applyFill="1" applyBorder="1" applyAlignment="1" applyProtection="1">
      <alignment vertical="center"/>
      <protection locked="0"/>
    </xf>
    <xf numFmtId="3" fontId="16" fillId="0" borderId="65" xfId="85" applyNumberFormat="1" applyFont="1" applyFill="1" applyBorder="1" applyAlignment="1" applyProtection="1">
      <alignment vertical="center"/>
      <protection locked="0"/>
    </xf>
    <xf numFmtId="3" fontId="16" fillId="0" borderId="117" xfId="85" applyNumberFormat="1" applyFont="1" applyFill="1" applyBorder="1" applyAlignment="1" applyProtection="1">
      <alignment vertical="center"/>
      <protection/>
    </xf>
    <xf numFmtId="3" fontId="16" fillId="0" borderId="35" xfId="85" applyNumberFormat="1" applyFont="1" applyFill="1" applyBorder="1" applyAlignment="1" applyProtection="1">
      <alignment vertical="center"/>
      <protection/>
    </xf>
    <xf numFmtId="3" fontId="16" fillId="0" borderId="36" xfId="85" applyNumberFormat="1" applyFont="1" applyFill="1" applyBorder="1" applyAlignment="1" applyProtection="1">
      <alignment vertical="center"/>
      <protection/>
    </xf>
    <xf numFmtId="3" fontId="17" fillId="0" borderId="13" xfId="85" applyNumberFormat="1" applyFont="1" applyFill="1" applyBorder="1" applyAlignment="1" applyProtection="1">
      <alignment vertical="center"/>
      <protection locked="0"/>
    </xf>
    <xf numFmtId="3" fontId="17" fillId="0" borderId="12" xfId="85" applyNumberFormat="1" applyFont="1" applyFill="1" applyBorder="1" applyAlignment="1" applyProtection="1">
      <alignment vertical="center"/>
      <protection locked="0"/>
    </xf>
    <xf numFmtId="3" fontId="16" fillId="0" borderId="70" xfId="85" applyNumberFormat="1" applyFont="1" applyFill="1" applyBorder="1" applyAlignment="1" applyProtection="1">
      <alignment vertical="center"/>
      <protection locked="0"/>
    </xf>
    <xf numFmtId="3" fontId="16" fillId="0" borderId="104" xfId="85" applyNumberFormat="1" applyFont="1" applyFill="1" applyBorder="1" applyAlignment="1" applyProtection="1">
      <alignment vertical="center"/>
      <protection/>
    </xf>
    <xf numFmtId="3" fontId="14" fillId="0" borderId="0" xfId="85" applyNumberFormat="1" applyFont="1" applyFill="1" applyProtection="1">
      <alignment/>
      <protection locked="0"/>
    </xf>
    <xf numFmtId="3" fontId="32" fillId="0" borderId="0" xfId="85" applyNumberFormat="1" applyFont="1" applyFill="1" applyProtection="1">
      <alignment/>
      <protection locked="0"/>
    </xf>
    <xf numFmtId="4" fontId="14" fillId="0" borderId="0" xfId="85" applyNumberFormat="1" applyFont="1" applyFill="1" applyProtection="1">
      <alignment/>
      <protection locked="0"/>
    </xf>
    <xf numFmtId="4" fontId="32" fillId="0" borderId="0" xfId="85" applyNumberFormat="1" applyFont="1" applyFill="1" applyProtection="1">
      <alignment/>
      <protection locked="0"/>
    </xf>
    <xf numFmtId="3" fontId="44" fillId="0" borderId="115" xfId="78" applyNumberFormat="1" applyFont="1" applyBorder="1">
      <alignment/>
      <protection/>
    </xf>
    <xf numFmtId="3" fontId="44" fillId="0" borderId="103" xfId="78" applyNumberFormat="1" applyFont="1" applyBorder="1">
      <alignment/>
      <protection/>
    </xf>
    <xf numFmtId="3" fontId="44" fillId="0" borderId="61" xfId="78" applyNumberFormat="1" applyFont="1" applyBorder="1">
      <alignment/>
      <protection/>
    </xf>
    <xf numFmtId="3" fontId="44" fillId="0" borderId="60" xfId="78" applyNumberFormat="1" applyFont="1" applyBorder="1">
      <alignment/>
      <protection/>
    </xf>
    <xf numFmtId="3" fontId="44" fillId="0" borderId="118" xfId="78" applyNumberFormat="1" applyFont="1" applyBorder="1">
      <alignment/>
      <protection/>
    </xf>
    <xf numFmtId="3" fontId="14" fillId="0" borderId="0" xfId="85" applyNumberFormat="1" applyFont="1" applyFill="1" applyProtection="1">
      <alignment/>
      <protection/>
    </xf>
    <xf numFmtId="3" fontId="44" fillId="0" borderId="0" xfId="78" applyNumberFormat="1" applyFont="1">
      <alignment/>
      <protection/>
    </xf>
    <xf numFmtId="3" fontId="44" fillId="0" borderId="58" xfId="78" applyNumberFormat="1" applyFont="1" applyBorder="1">
      <alignment/>
      <protection/>
    </xf>
    <xf numFmtId="3" fontId="44" fillId="0" borderId="67" xfId="78" applyNumberFormat="1" applyFont="1" applyBorder="1">
      <alignment/>
      <protection/>
    </xf>
    <xf numFmtId="3" fontId="44" fillId="0" borderId="45" xfId="78" applyNumberFormat="1" applyFont="1" applyBorder="1">
      <alignment/>
      <protection/>
    </xf>
    <xf numFmtId="3" fontId="44" fillId="0" borderId="46" xfId="78" applyNumberFormat="1" applyFont="1" applyBorder="1">
      <alignment/>
      <protection/>
    </xf>
    <xf numFmtId="3" fontId="44" fillId="0" borderId="109" xfId="78" applyNumberFormat="1" applyFont="1" applyBorder="1">
      <alignment/>
      <protection/>
    </xf>
    <xf numFmtId="3" fontId="14" fillId="0" borderId="0" xfId="85" applyNumberFormat="1" applyFont="1" applyFill="1" applyAlignment="1" applyProtection="1">
      <alignment vertical="center"/>
      <protection/>
    </xf>
    <xf numFmtId="3" fontId="44" fillId="0" borderId="59" xfId="78" applyNumberFormat="1" applyFont="1" applyBorder="1">
      <alignment/>
      <protection/>
    </xf>
    <xf numFmtId="3" fontId="44" fillId="0" borderId="17" xfId="78" applyNumberFormat="1" applyFont="1" applyBorder="1">
      <alignment/>
      <protection/>
    </xf>
    <xf numFmtId="3" fontId="44" fillId="0" borderId="10" xfId="78" applyNumberFormat="1" applyFont="1" applyBorder="1">
      <alignment/>
      <protection/>
    </xf>
    <xf numFmtId="3" fontId="44" fillId="0" borderId="24" xfId="78" applyNumberFormat="1" applyFont="1" applyBorder="1">
      <alignment/>
      <protection/>
    </xf>
    <xf numFmtId="3" fontId="44" fillId="0" borderId="113" xfId="78" applyNumberFormat="1" applyFont="1" applyBorder="1">
      <alignment/>
      <protection/>
    </xf>
    <xf numFmtId="0" fontId="44" fillId="0" borderId="0" xfId="78" applyFont="1">
      <alignment/>
      <protection/>
    </xf>
    <xf numFmtId="3" fontId="14" fillId="0" borderId="0" xfId="85" applyNumberFormat="1" applyFont="1" applyFill="1" applyAlignment="1" applyProtection="1">
      <alignment vertical="center"/>
      <protection locked="0"/>
    </xf>
    <xf numFmtId="3" fontId="45" fillId="0" borderId="0" xfId="78" applyNumberFormat="1" applyFont="1">
      <alignment/>
      <protection/>
    </xf>
    <xf numFmtId="3" fontId="46" fillId="0" borderId="17" xfId="78" applyNumberFormat="1" applyFont="1" applyBorder="1">
      <alignment/>
      <protection/>
    </xf>
    <xf numFmtId="3" fontId="46" fillId="0" borderId="10" xfId="78" applyNumberFormat="1" applyFont="1" applyBorder="1">
      <alignment/>
      <protection/>
    </xf>
    <xf numFmtId="3" fontId="46" fillId="0" borderId="24" xfId="78" applyNumberFormat="1" applyFont="1" applyBorder="1">
      <alignment/>
      <protection/>
    </xf>
    <xf numFmtId="3" fontId="46" fillId="0" borderId="113" xfId="78" applyNumberFormat="1" applyFont="1" applyBorder="1">
      <alignment/>
      <protection/>
    </xf>
    <xf numFmtId="3" fontId="32" fillId="0" borderId="0" xfId="85" applyNumberFormat="1" applyFont="1" applyFill="1" applyAlignment="1" applyProtection="1">
      <alignment vertical="center"/>
      <protection locked="0"/>
    </xf>
    <xf numFmtId="183" fontId="0" fillId="0" borderId="0" xfId="0" applyNumberFormat="1" applyFont="1" applyFill="1" applyAlignment="1">
      <alignment/>
    </xf>
    <xf numFmtId="3" fontId="44" fillId="0" borderId="111" xfId="78" applyNumberFormat="1" applyFont="1" applyBorder="1">
      <alignment/>
      <protection/>
    </xf>
    <xf numFmtId="3" fontId="44" fillId="0" borderId="117" xfId="78" applyNumberFormat="1" applyFont="1" applyBorder="1">
      <alignment/>
      <protection/>
    </xf>
    <xf numFmtId="3" fontId="44" fillId="0" borderId="35" xfId="78" applyNumberFormat="1" applyFont="1" applyBorder="1">
      <alignment/>
      <protection/>
    </xf>
    <xf numFmtId="3" fontId="44" fillId="0" borderId="36" xfId="78" applyNumberFormat="1" applyFont="1" applyBorder="1">
      <alignment/>
      <protection/>
    </xf>
    <xf numFmtId="3" fontId="44" fillId="0" borderId="112" xfId="78" applyNumberFormat="1" applyFont="1" applyBorder="1">
      <alignment/>
      <protection/>
    </xf>
    <xf numFmtId="3" fontId="6" fillId="0" borderId="0" xfId="85" applyNumberFormat="1" applyFont="1" applyFill="1" applyAlignment="1" applyProtection="1">
      <alignment vertical="center"/>
      <protection locked="0"/>
    </xf>
    <xf numFmtId="3" fontId="23" fillId="0" borderId="0" xfId="0" applyNumberFormat="1" applyFont="1" applyBorder="1" applyAlignment="1">
      <alignment horizontal="center"/>
    </xf>
    <xf numFmtId="3" fontId="23" fillId="0" borderId="0" xfId="0" applyNumberFormat="1" applyFont="1" applyBorder="1" applyAlignment="1">
      <alignment/>
    </xf>
    <xf numFmtId="3" fontId="22" fillId="0" borderId="0" xfId="0" applyNumberFormat="1" applyFont="1" applyBorder="1" applyAlignment="1">
      <alignment horizontal="center"/>
    </xf>
    <xf numFmtId="3" fontId="22" fillId="0" borderId="0" xfId="0" applyNumberFormat="1" applyFont="1" applyBorder="1" applyAlignment="1">
      <alignment/>
    </xf>
    <xf numFmtId="3" fontId="84" fillId="0" borderId="28" xfId="63" applyNumberFormat="1" applyFont="1" applyFill="1" applyBorder="1" applyAlignment="1" applyProtection="1">
      <alignment horizontal="right" vertical="center" wrapText="1"/>
      <protection locked="0"/>
    </xf>
    <xf numFmtId="3" fontId="84" fillId="0" borderId="24" xfId="63" applyNumberFormat="1" applyFont="1" applyFill="1" applyBorder="1" applyAlignment="1" applyProtection="1">
      <alignment horizontal="right" vertical="center" wrapText="1"/>
      <protection locked="0"/>
    </xf>
    <xf numFmtId="3" fontId="85" fillId="0" borderId="18" xfId="63" applyNumberFormat="1" applyFont="1" applyFill="1" applyBorder="1" applyAlignment="1">
      <alignment vertical="center" wrapText="1"/>
      <protection/>
    </xf>
    <xf numFmtId="3" fontId="85" fillId="0" borderId="16" xfId="63" applyNumberFormat="1" applyFont="1" applyFill="1" applyBorder="1" applyAlignment="1">
      <alignment vertical="center" wrapText="1"/>
      <protection/>
    </xf>
    <xf numFmtId="3" fontId="85" fillId="0" borderId="14" xfId="63" applyNumberFormat="1" applyFont="1" applyFill="1" applyBorder="1" applyAlignment="1">
      <alignment vertical="center" wrapText="1"/>
      <protection/>
    </xf>
    <xf numFmtId="3" fontId="85" fillId="0" borderId="10" xfId="63" applyNumberFormat="1" applyFont="1" applyFill="1" applyBorder="1" applyAlignment="1">
      <alignment vertical="center" wrapText="1"/>
      <protection/>
    </xf>
    <xf numFmtId="3" fontId="85" fillId="0" borderId="24" xfId="63" applyNumberFormat="1" applyFont="1" applyFill="1" applyBorder="1" applyAlignment="1">
      <alignment vertical="center" wrapText="1"/>
      <protection/>
    </xf>
    <xf numFmtId="3" fontId="85" fillId="0" borderId="17" xfId="63" applyNumberFormat="1" applyFont="1" applyFill="1" applyBorder="1" applyAlignment="1">
      <alignment vertical="center" wrapText="1"/>
      <protection/>
    </xf>
    <xf numFmtId="3" fontId="85" fillId="0" borderId="0" xfId="63" applyNumberFormat="1" applyFont="1" applyFill="1" applyAlignment="1">
      <alignment vertical="center" wrapText="1"/>
      <protection/>
    </xf>
    <xf numFmtId="3" fontId="31" fillId="0" borderId="115" xfId="0" applyNumberFormat="1" applyFont="1" applyFill="1" applyBorder="1" applyAlignment="1">
      <alignment horizontal="center" vertical="center" wrapText="1"/>
    </xf>
    <xf numFmtId="3" fontId="31" fillId="0" borderId="103" xfId="0" applyNumberFormat="1" applyFont="1" applyFill="1" applyBorder="1" applyAlignment="1">
      <alignment horizontal="center" vertical="center" wrapText="1"/>
    </xf>
    <xf numFmtId="3" fontId="31" fillId="0" borderId="61" xfId="0" applyNumberFormat="1" applyFont="1" applyFill="1" applyBorder="1" applyAlignment="1">
      <alignment horizontal="center" vertical="center" wrapText="1"/>
    </xf>
    <xf numFmtId="3" fontId="31" fillId="0" borderId="60" xfId="0" applyNumberFormat="1" applyFont="1" applyFill="1" applyBorder="1" applyAlignment="1">
      <alignment horizontal="center" vertical="center" wrapText="1"/>
    </xf>
    <xf numFmtId="3" fontId="33" fillId="0" borderId="115" xfId="0" applyNumberFormat="1" applyFont="1" applyFill="1" applyBorder="1" applyAlignment="1">
      <alignment vertical="center" wrapText="1"/>
    </xf>
    <xf numFmtId="3" fontId="33" fillId="0" borderId="66" xfId="0" applyNumberFormat="1" applyFont="1" applyFill="1" applyBorder="1" applyAlignment="1">
      <alignment vertical="center" wrapText="1"/>
    </xf>
    <xf numFmtId="3" fontId="33" fillId="0" borderId="22" xfId="0" applyNumberFormat="1" applyFont="1" applyFill="1" applyBorder="1" applyAlignment="1">
      <alignment vertical="center" wrapText="1"/>
    </xf>
    <xf numFmtId="3" fontId="33" fillId="0" borderId="23" xfId="0" applyNumberFormat="1" applyFont="1" applyFill="1" applyBorder="1" applyAlignment="1">
      <alignment vertical="center" wrapText="1"/>
    </xf>
    <xf numFmtId="188" fontId="26" fillId="0" borderId="0" xfId="63" applyNumberFormat="1" applyFont="1" applyFill="1" applyAlignment="1">
      <alignment horizontal="center" vertical="center" wrapText="1"/>
      <protection/>
    </xf>
    <xf numFmtId="49" fontId="26" fillId="0" borderId="0" xfId="63" applyNumberFormat="1" applyFont="1" applyFill="1" applyAlignment="1">
      <alignment horizontal="center" vertical="center" wrapText="1"/>
      <protection/>
    </xf>
    <xf numFmtId="49" fontId="26" fillId="0" borderId="0" xfId="63" applyNumberFormat="1" applyFont="1" applyFill="1" applyAlignment="1">
      <alignment horizontal="left" vertical="center" wrapText="1"/>
      <protection/>
    </xf>
    <xf numFmtId="3" fontId="26" fillId="0" borderId="27" xfId="63" applyNumberFormat="1" applyFont="1" applyFill="1" applyBorder="1" applyAlignment="1">
      <alignment horizontal="left" vertical="center" wrapText="1" indent="1"/>
      <protection/>
    </xf>
    <xf numFmtId="3" fontId="26" fillId="0" borderId="25" xfId="63" applyNumberFormat="1" applyFont="1" applyFill="1" applyBorder="1" applyAlignment="1">
      <alignment vertical="center" wrapText="1"/>
      <protection/>
    </xf>
    <xf numFmtId="3" fontId="26" fillId="0" borderId="16" xfId="63" applyNumberFormat="1" applyFont="1" applyFill="1" applyBorder="1" applyAlignment="1">
      <alignment horizontal="right" vertical="center" wrapText="1"/>
      <protection/>
    </xf>
    <xf numFmtId="3" fontId="26" fillId="0" borderId="14" xfId="63" applyNumberFormat="1" applyFont="1" applyFill="1" applyBorder="1" applyAlignment="1">
      <alignment vertical="center" wrapText="1"/>
      <protection/>
    </xf>
    <xf numFmtId="3" fontId="15" fillId="0" borderId="0" xfId="63" applyNumberFormat="1" applyFont="1" applyFill="1" applyAlignment="1">
      <alignment vertical="center" wrapText="1"/>
      <protection/>
    </xf>
    <xf numFmtId="3" fontId="26" fillId="0" borderId="28" xfId="63" applyNumberFormat="1" applyFont="1" applyFill="1" applyBorder="1" applyAlignment="1">
      <alignment horizontal="left" vertical="center" wrapText="1" indent="4"/>
      <protection/>
    </xf>
    <xf numFmtId="3" fontId="26" fillId="0" borderId="26" xfId="63" applyNumberFormat="1" applyFont="1" applyFill="1" applyBorder="1" applyAlignment="1">
      <alignment vertical="center" wrapText="1"/>
      <protection/>
    </xf>
    <xf numFmtId="3" fontId="26" fillId="0" borderId="10" xfId="63" applyNumberFormat="1" applyFont="1" applyFill="1" applyBorder="1" applyAlignment="1">
      <alignment horizontal="right" vertical="center" wrapText="1"/>
      <protection/>
    </xf>
    <xf numFmtId="3" fontId="26" fillId="0" borderId="24" xfId="63" applyNumberFormat="1" applyFont="1" applyFill="1" applyBorder="1" applyAlignment="1">
      <alignment vertical="center" wrapText="1"/>
      <protection/>
    </xf>
    <xf numFmtId="3" fontId="26" fillId="0" borderId="29" xfId="63" applyNumberFormat="1" applyFont="1" applyFill="1" applyBorder="1" applyAlignment="1">
      <alignment horizontal="left" vertical="center" wrapText="1" indent="4"/>
      <protection/>
    </xf>
    <xf numFmtId="3" fontId="26" fillId="0" borderId="44" xfId="63" applyNumberFormat="1" applyFont="1" applyFill="1" applyBorder="1" applyAlignment="1">
      <alignment vertical="center" wrapText="1"/>
      <protection/>
    </xf>
    <xf numFmtId="3" fontId="26" fillId="0" borderId="12" xfId="63" applyNumberFormat="1" applyFont="1" applyFill="1" applyBorder="1" applyAlignment="1">
      <alignment horizontal="right" vertical="center" wrapText="1"/>
      <protection/>
    </xf>
    <xf numFmtId="3" fontId="26" fillId="0" borderId="11" xfId="63" applyNumberFormat="1" applyFont="1" applyFill="1" applyBorder="1" applyAlignment="1">
      <alignment vertical="center" wrapText="1"/>
      <protection/>
    </xf>
    <xf numFmtId="3" fontId="26" fillId="0" borderId="0" xfId="63" applyNumberFormat="1" applyFont="1" applyFill="1" applyBorder="1" applyAlignment="1">
      <alignment horizontal="left" vertical="center" wrapText="1" indent="4"/>
      <protection/>
    </xf>
    <xf numFmtId="3" fontId="26" fillId="0" borderId="0" xfId="63" applyNumberFormat="1" applyFont="1" applyFill="1" applyBorder="1" applyAlignment="1">
      <alignment vertical="center" wrapText="1"/>
      <protection/>
    </xf>
    <xf numFmtId="3" fontId="26" fillId="0" borderId="0" xfId="63" applyNumberFormat="1" applyFont="1" applyFill="1" applyBorder="1" applyAlignment="1">
      <alignment horizontal="right" vertical="center" wrapText="1"/>
      <protection/>
    </xf>
    <xf numFmtId="3" fontId="86" fillId="0" borderId="0" xfId="63" applyNumberFormat="1" applyFont="1" applyFill="1" applyAlignment="1">
      <alignment vertical="center" wrapText="1"/>
      <protection/>
    </xf>
    <xf numFmtId="3" fontId="87" fillId="0" borderId="0" xfId="63" applyNumberFormat="1" applyFont="1" applyFill="1" applyAlignment="1">
      <alignment vertical="center" wrapText="1"/>
      <protection/>
    </xf>
    <xf numFmtId="3" fontId="87" fillId="0" borderId="0" xfId="63" applyNumberFormat="1" applyFont="1" applyFill="1" applyAlignment="1">
      <alignment horizontal="right" vertical="center" wrapText="1"/>
      <protection/>
    </xf>
    <xf numFmtId="188" fontId="86" fillId="0" borderId="0" xfId="63" applyNumberFormat="1" applyFont="1" applyFill="1" applyAlignment="1">
      <alignment horizontal="center" vertical="center" wrapText="1"/>
      <protection/>
    </xf>
    <xf numFmtId="49" fontId="86" fillId="0" borderId="0" xfId="63" applyNumberFormat="1" applyFont="1" applyFill="1" applyAlignment="1">
      <alignment horizontal="center" vertical="center" wrapText="1"/>
      <protection/>
    </xf>
    <xf numFmtId="49" fontId="86" fillId="0" borderId="0" xfId="63" applyNumberFormat="1" applyFont="1" applyFill="1" applyAlignment="1">
      <alignment horizontal="left" vertical="center" wrapText="1"/>
      <protection/>
    </xf>
    <xf numFmtId="188" fontId="85" fillId="0" borderId="0" xfId="63" applyNumberFormat="1" applyFont="1" applyFill="1" applyAlignment="1">
      <alignment horizontal="center" vertical="center" wrapText="1"/>
      <protection/>
    </xf>
    <xf numFmtId="49" fontId="85" fillId="0" borderId="0" xfId="63" applyNumberFormat="1" applyFont="1" applyFill="1" applyAlignment="1">
      <alignment horizontal="center" vertical="center" wrapText="1"/>
      <protection/>
    </xf>
    <xf numFmtId="49" fontId="85" fillId="0" borderId="0" xfId="63" applyNumberFormat="1" applyFont="1" applyFill="1" applyAlignment="1">
      <alignment horizontal="left" vertical="center" wrapText="1"/>
      <protection/>
    </xf>
    <xf numFmtId="3" fontId="84" fillId="0" borderId="0" xfId="63" applyNumberFormat="1" applyFont="1" applyFill="1" applyAlignment="1">
      <alignment vertical="center" wrapText="1"/>
      <protection/>
    </xf>
    <xf numFmtId="3" fontId="84" fillId="0" borderId="0" xfId="63" applyNumberFormat="1" applyFont="1" applyFill="1" applyAlignment="1">
      <alignment horizontal="right" vertical="center" wrapText="1"/>
      <protection/>
    </xf>
    <xf numFmtId="3" fontId="17" fillId="0" borderId="64" xfId="85" applyNumberFormat="1" applyFont="1" applyFill="1" applyBorder="1" applyAlignment="1" applyProtection="1">
      <alignment vertical="center"/>
      <protection locked="0"/>
    </xf>
    <xf numFmtId="3" fontId="17" fillId="0" borderId="65" xfId="85" applyNumberFormat="1" applyFont="1" applyFill="1" applyBorder="1" applyAlignment="1" applyProtection="1">
      <alignment vertical="center"/>
      <protection locked="0"/>
    </xf>
    <xf numFmtId="3" fontId="17" fillId="0" borderId="120" xfId="85" applyNumberFormat="1" applyFont="1" applyFill="1" applyBorder="1" applyAlignment="1" applyProtection="1">
      <alignment vertical="center"/>
      <protection locked="0"/>
    </xf>
    <xf numFmtId="3" fontId="16" fillId="0" borderId="27" xfId="85" applyNumberFormat="1" applyFont="1" applyFill="1" applyBorder="1" applyAlignment="1" applyProtection="1">
      <alignment vertical="center"/>
      <protection/>
    </xf>
    <xf numFmtId="3" fontId="16" fillId="0" borderId="28" xfId="85" applyNumberFormat="1" applyFont="1" applyFill="1" applyBorder="1" applyAlignment="1" applyProtection="1">
      <alignment vertical="center"/>
      <protection/>
    </xf>
    <xf numFmtId="3" fontId="16" fillId="0" borderId="29" xfId="85" applyNumberFormat="1" applyFont="1" applyFill="1" applyBorder="1" applyAlignment="1" applyProtection="1">
      <alignment vertical="center"/>
      <protection/>
    </xf>
    <xf numFmtId="3" fontId="20" fillId="24" borderId="42" xfId="63" applyNumberFormat="1" applyFont="1" applyFill="1" applyBorder="1" applyAlignment="1">
      <alignment vertical="top" wrapText="1"/>
      <protection/>
    </xf>
    <xf numFmtId="0" fontId="37" fillId="0" borderId="0" xfId="84" applyFont="1" applyAlignment="1">
      <alignment horizontal="center"/>
      <protection/>
    </xf>
    <xf numFmtId="0" fontId="38" fillId="0" borderId="0" xfId="84" applyFont="1" applyAlignment="1">
      <alignment horizontal="center"/>
      <protection/>
    </xf>
    <xf numFmtId="0" fontId="38" fillId="0" borderId="0" xfId="84" applyFont="1" applyAlignment="1">
      <alignment horizontal="left" wrapText="1"/>
      <protection/>
    </xf>
    <xf numFmtId="3" fontId="10" fillId="0" borderId="0" xfId="63" applyNumberFormat="1" applyFont="1" applyFill="1" applyAlignment="1">
      <alignment horizontal="center" vertical="center" wrapText="1"/>
      <protection/>
    </xf>
    <xf numFmtId="188" fontId="85" fillId="0" borderId="59" xfId="63" applyNumberFormat="1" applyFont="1" applyFill="1" applyBorder="1" applyAlignment="1">
      <alignment horizontal="left" vertical="center" wrapText="1" indent="3"/>
      <protection/>
    </xf>
    <xf numFmtId="188" fontId="85" fillId="0" borderId="51" xfId="63" applyNumberFormat="1" applyFont="1" applyFill="1" applyBorder="1" applyAlignment="1">
      <alignment horizontal="left" vertical="center" wrapText="1" indent="3"/>
      <protection/>
    </xf>
    <xf numFmtId="188" fontId="85" fillId="0" borderId="113" xfId="63" applyNumberFormat="1" applyFont="1" applyFill="1" applyBorder="1" applyAlignment="1">
      <alignment horizontal="left" vertical="center" wrapText="1" indent="3"/>
      <protection/>
    </xf>
    <xf numFmtId="0" fontId="16" fillId="0" borderId="59" xfId="63" applyFont="1" applyFill="1" applyBorder="1" applyAlignment="1">
      <alignment vertical="center" wrapText="1"/>
      <protection/>
    </xf>
    <xf numFmtId="0" fontId="16" fillId="0" borderId="51" xfId="63" applyFont="1" applyFill="1" applyBorder="1" applyAlignment="1">
      <alignment vertical="center" wrapText="1"/>
      <protection/>
    </xf>
    <xf numFmtId="0" fontId="16" fillId="0" borderId="113" xfId="63" applyFont="1" applyFill="1" applyBorder="1" applyAlignment="1">
      <alignment vertical="center" wrapText="1"/>
      <protection/>
    </xf>
    <xf numFmtId="0" fontId="16" fillId="0" borderId="63" xfId="63" applyFont="1" applyFill="1" applyBorder="1" applyAlignment="1">
      <alignment vertical="center" wrapText="1"/>
      <protection/>
    </xf>
    <xf numFmtId="0" fontId="16" fillId="0" borderId="53" xfId="63" applyFont="1" applyFill="1" applyBorder="1" applyAlignment="1">
      <alignment vertical="center" wrapText="1"/>
      <protection/>
    </xf>
    <xf numFmtId="0" fontId="16" fillId="0" borderId="110" xfId="63" applyFont="1" applyFill="1" applyBorder="1" applyAlignment="1">
      <alignment vertical="center" wrapText="1"/>
      <protection/>
    </xf>
    <xf numFmtId="0" fontId="16" fillId="5" borderId="57" xfId="63" applyFont="1" applyFill="1" applyBorder="1" applyAlignment="1">
      <alignment vertical="center" wrapText="1"/>
      <protection/>
    </xf>
    <xf numFmtId="0" fontId="16" fillId="5" borderId="49" xfId="63" applyFont="1" applyFill="1" applyBorder="1" applyAlignment="1">
      <alignment vertical="center" wrapText="1"/>
      <protection/>
    </xf>
    <xf numFmtId="0" fontId="16" fillId="5" borderId="20" xfId="63" applyFont="1" applyFill="1" applyBorder="1" applyAlignment="1">
      <alignment vertical="center" wrapText="1"/>
      <protection/>
    </xf>
    <xf numFmtId="0" fontId="16" fillId="0" borderId="58" xfId="63" applyFont="1" applyFill="1" applyBorder="1" applyAlignment="1">
      <alignment vertical="center" wrapText="1"/>
      <protection/>
    </xf>
    <xf numFmtId="0" fontId="16" fillId="0" borderId="54" xfId="63" applyFont="1" applyFill="1" applyBorder="1" applyAlignment="1">
      <alignment vertical="center" wrapText="1"/>
      <protection/>
    </xf>
    <xf numFmtId="0" fontId="16" fillId="0" borderId="109" xfId="63" applyFont="1" applyFill="1" applyBorder="1" applyAlignment="1">
      <alignment vertical="center" wrapText="1"/>
      <protection/>
    </xf>
    <xf numFmtId="0" fontId="16" fillId="0" borderId="57" xfId="63" applyFont="1" applyFill="1" applyBorder="1" applyAlignment="1">
      <alignment/>
      <protection/>
    </xf>
    <xf numFmtId="0" fontId="16" fillId="0" borderId="49" xfId="63" applyFont="1" applyFill="1" applyBorder="1" applyAlignment="1">
      <alignment/>
      <protection/>
    </xf>
    <xf numFmtId="0" fontId="16" fillId="0" borderId="20" xfId="63" applyFont="1" applyFill="1" applyBorder="1" applyAlignment="1">
      <alignment/>
      <protection/>
    </xf>
    <xf numFmtId="0" fontId="16" fillId="5" borderId="57" xfId="63" applyFont="1" applyFill="1" applyBorder="1" applyAlignment="1">
      <alignment/>
      <protection/>
    </xf>
    <xf numFmtId="0" fontId="16" fillId="5" borderId="49" xfId="63" applyFont="1" applyFill="1" applyBorder="1" applyAlignment="1">
      <alignment/>
      <protection/>
    </xf>
    <xf numFmtId="0" fontId="16" fillId="5" borderId="20" xfId="63" applyFont="1" applyFill="1" applyBorder="1" applyAlignment="1">
      <alignment/>
      <protection/>
    </xf>
    <xf numFmtId="3" fontId="16" fillId="0" borderId="41" xfId="63" applyNumberFormat="1" applyFont="1" applyFill="1" applyBorder="1" applyAlignment="1">
      <alignment horizontal="center" vertical="center" wrapText="1"/>
      <protection/>
    </xf>
    <xf numFmtId="3" fontId="16" fillId="0" borderId="43" xfId="63" applyNumberFormat="1" applyFont="1" applyFill="1" applyBorder="1" applyAlignment="1">
      <alignment horizontal="center" vertical="center" wrapText="1"/>
      <protection/>
    </xf>
    <xf numFmtId="3" fontId="16" fillId="0" borderId="57" xfId="63" applyNumberFormat="1" applyFont="1" applyFill="1" applyBorder="1" applyAlignment="1">
      <alignment horizontal="center" vertical="center" wrapText="1"/>
      <protection/>
    </xf>
    <xf numFmtId="3" fontId="16" fillId="0" borderId="49" xfId="63" applyNumberFormat="1" applyFont="1" applyFill="1" applyBorder="1" applyAlignment="1">
      <alignment horizontal="center" vertical="center" wrapText="1"/>
      <protection/>
    </xf>
    <xf numFmtId="3" fontId="16" fillId="0" borderId="20" xfId="63" applyNumberFormat="1" applyFont="1" applyFill="1" applyBorder="1" applyAlignment="1">
      <alignment horizontal="center" vertical="center" wrapText="1"/>
      <protection/>
    </xf>
    <xf numFmtId="3" fontId="16" fillId="0" borderId="115" xfId="63" applyNumberFormat="1" applyFont="1" applyFill="1" applyBorder="1" applyAlignment="1">
      <alignment horizontal="left" vertical="center" wrapText="1"/>
      <protection/>
    </xf>
    <xf numFmtId="0" fontId="17" fillId="0" borderId="55" xfId="63" applyFont="1" applyBorder="1">
      <alignment/>
      <protection/>
    </xf>
    <xf numFmtId="0" fontId="17" fillId="0" borderId="118" xfId="63" applyFont="1" applyBorder="1">
      <alignment/>
      <protection/>
    </xf>
    <xf numFmtId="3" fontId="16" fillId="0" borderId="115" xfId="63" applyNumberFormat="1" applyFont="1" applyFill="1" applyBorder="1" applyAlignment="1">
      <alignment vertical="center" wrapText="1"/>
      <protection/>
    </xf>
    <xf numFmtId="3" fontId="16" fillId="0" borderId="115" xfId="63" applyNumberFormat="1" applyFont="1" applyFill="1" applyBorder="1" applyAlignment="1">
      <alignment horizontal="center" vertical="center" wrapText="1"/>
      <protection/>
    </xf>
    <xf numFmtId="3" fontId="16" fillId="0" borderId="55" xfId="63" applyNumberFormat="1" applyFont="1" applyFill="1" applyBorder="1" applyAlignment="1">
      <alignment horizontal="center" vertical="center" wrapText="1"/>
      <protection/>
    </xf>
    <xf numFmtId="3" fontId="16" fillId="0" borderId="118" xfId="63" applyNumberFormat="1" applyFont="1" applyFill="1" applyBorder="1" applyAlignment="1">
      <alignment horizontal="center" vertical="center" wrapText="1"/>
      <protection/>
    </xf>
    <xf numFmtId="188" fontId="16" fillId="0" borderId="41" xfId="63" applyNumberFormat="1" applyFont="1" applyFill="1" applyBorder="1" applyAlignment="1">
      <alignment horizontal="center" vertical="center" wrapText="1"/>
      <protection/>
    </xf>
    <xf numFmtId="188" fontId="16" fillId="0" borderId="56" xfId="63" applyNumberFormat="1" applyFont="1" applyFill="1" applyBorder="1" applyAlignment="1">
      <alignment horizontal="center" vertical="center" wrapText="1"/>
      <protection/>
    </xf>
    <xf numFmtId="188" fontId="16" fillId="0" borderId="43" xfId="63" applyNumberFormat="1" applyFont="1" applyFill="1" applyBorder="1" applyAlignment="1">
      <alignment horizontal="center" vertical="center" wrapText="1"/>
      <protection/>
    </xf>
    <xf numFmtId="49" fontId="16" fillId="0" borderId="115" xfId="63" applyNumberFormat="1" applyFont="1" applyFill="1" applyBorder="1" applyAlignment="1">
      <alignment horizontal="center" vertical="center" wrapText="1"/>
      <protection/>
    </xf>
    <xf numFmtId="49" fontId="16" fillId="0" borderId="105" xfId="63" applyNumberFormat="1" applyFont="1" applyFill="1" applyBorder="1" applyAlignment="1">
      <alignment horizontal="center" vertical="center" wrapText="1"/>
      <protection/>
    </xf>
    <xf numFmtId="49" fontId="16" fillId="0" borderId="111" xfId="63" applyNumberFormat="1" applyFont="1" applyFill="1" applyBorder="1" applyAlignment="1">
      <alignment horizontal="center" vertical="center" wrapText="1"/>
      <protection/>
    </xf>
    <xf numFmtId="49" fontId="16" fillId="0" borderId="60" xfId="63" applyNumberFormat="1" applyFont="1" applyFill="1" applyBorder="1" applyAlignment="1">
      <alignment horizontal="center" vertical="center" wrapText="1"/>
      <protection/>
    </xf>
    <xf numFmtId="49" fontId="16" fillId="0" borderId="40" xfId="63" applyNumberFormat="1" applyFont="1" applyFill="1" applyBorder="1" applyAlignment="1">
      <alignment horizontal="center" vertical="center" wrapText="1"/>
      <protection/>
    </xf>
    <xf numFmtId="49" fontId="16" fillId="0" borderId="36" xfId="63" applyNumberFormat="1" applyFont="1" applyFill="1" applyBorder="1" applyAlignment="1">
      <alignment horizontal="center" vertical="center" wrapText="1"/>
      <protection/>
    </xf>
    <xf numFmtId="3" fontId="16" fillId="0" borderId="105" xfId="63" applyNumberFormat="1" applyFont="1" applyFill="1" applyBorder="1" applyAlignment="1">
      <alignment horizontal="center" vertical="center" wrapText="1"/>
      <protection/>
    </xf>
    <xf numFmtId="3" fontId="16" fillId="0" borderId="111" xfId="63" applyNumberFormat="1" applyFont="1" applyFill="1" applyBorder="1" applyAlignment="1">
      <alignment horizontal="center" vertical="center" wrapText="1"/>
      <protection/>
    </xf>
    <xf numFmtId="0" fontId="16" fillId="0" borderId="60" xfId="63" applyFont="1" applyFill="1" applyBorder="1" applyAlignment="1">
      <alignment horizontal="center" vertical="center" wrapText="1"/>
      <protection/>
    </xf>
    <xf numFmtId="0" fontId="16" fillId="0" borderId="40" xfId="63" applyFont="1" applyFill="1" applyBorder="1" applyAlignment="1">
      <alignment horizontal="center" vertical="center" wrapText="1"/>
      <protection/>
    </xf>
    <xf numFmtId="0" fontId="16" fillId="0" borderId="36" xfId="63" applyFont="1" applyFill="1" applyBorder="1" applyAlignment="1">
      <alignment horizontal="center" vertical="center" wrapText="1"/>
      <protection/>
    </xf>
    <xf numFmtId="3" fontId="25" fillId="0" borderId="0" xfId="0" applyNumberFormat="1" applyFont="1" applyAlignment="1">
      <alignment horizontal="center"/>
    </xf>
    <xf numFmtId="3" fontId="10" fillId="0" borderId="0" xfId="83" applyNumberFormat="1" applyFont="1" applyFill="1" applyAlignment="1">
      <alignment horizontal="center"/>
      <protection/>
    </xf>
    <xf numFmtId="3" fontId="20" fillId="0" borderId="21" xfId="0" applyNumberFormat="1" applyFont="1" applyBorder="1" applyAlignment="1">
      <alignment horizontal="center"/>
    </xf>
    <xf numFmtId="3" fontId="20" fillId="0" borderId="22" xfId="0" applyNumberFormat="1" applyFont="1" applyBorder="1" applyAlignment="1">
      <alignment horizontal="center"/>
    </xf>
    <xf numFmtId="3" fontId="20" fillId="0" borderId="23" xfId="0" applyNumberFormat="1" applyFont="1" applyBorder="1" applyAlignment="1">
      <alignment horizontal="center"/>
    </xf>
    <xf numFmtId="3" fontId="20" fillId="0" borderId="103" xfId="0" applyNumberFormat="1" applyFont="1" applyBorder="1" applyAlignment="1">
      <alignment horizontal="center"/>
    </xf>
    <xf numFmtId="3" fontId="20" fillId="0" borderId="61" xfId="0" applyNumberFormat="1" applyFont="1" applyBorder="1" applyAlignment="1">
      <alignment horizontal="center"/>
    </xf>
    <xf numFmtId="3" fontId="20" fillId="0" borderId="60" xfId="0" applyNumberFormat="1" applyFont="1" applyBorder="1" applyAlignment="1">
      <alignment horizontal="center"/>
    </xf>
    <xf numFmtId="49" fontId="20" fillId="0" borderId="21" xfId="0" applyNumberFormat="1" applyFont="1" applyBorder="1" applyAlignment="1">
      <alignment horizontal="center"/>
    </xf>
    <xf numFmtId="49" fontId="20" fillId="0" borderId="22" xfId="0" applyNumberFormat="1" applyFont="1" applyBorder="1" applyAlignment="1">
      <alignment horizontal="center"/>
    </xf>
    <xf numFmtId="49" fontId="20" fillId="0" borderId="23" xfId="0" applyNumberFormat="1" applyFont="1" applyBorder="1" applyAlignment="1">
      <alignment horizontal="center"/>
    </xf>
    <xf numFmtId="49" fontId="20" fillId="0" borderId="103" xfId="0" applyNumberFormat="1" applyFont="1" applyBorder="1" applyAlignment="1">
      <alignment horizontal="center"/>
    </xf>
    <xf numFmtId="49" fontId="20" fillId="0" borderId="61" xfId="0" applyNumberFormat="1" applyFont="1" applyBorder="1" applyAlignment="1">
      <alignment horizontal="center"/>
    </xf>
    <xf numFmtId="49" fontId="20" fillId="0" borderId="60" xfId="0" applyNumberFormat="1" applyFont="1" applyBorder="1" applyAlignment="1">
      <alignment horizontal="center"/>
    </xf>
    <xf numFmtId="49" fontId="10" fillId="0" borderId="0" xfId="63" applyNumberFormat="1" applyFont="1" applyFill="1" applyAlignment="1">
      <alignment horizontal="center"/>
      <protection/>
    </xf>
    <xf numFmtId="0" fontId="16" fillId="0" borderId="115" xfId="63" applyFont="1" applyFill="1" applyBorder="1" applyAlignment="1">
      <alignment horizontal="center" vertical="center"/>
      <protection/>
    </xf>
    <xf numFmtId="0" fontId="16" fillId="0" borderId="105" xfId="63" applyFont="1" applyFill="1" applyBorder="1" applyAlignment="1">
      <alignment horizontal="center" vertical="center"/>
      <protection/>
    </xf>
    <xf numFmtId="4" fontId="16" fillId="0" borderId="66" xfId="63" applyNumberFormat="1" applyFont="1" applyFill="1" applyBorder="1" applyAlignment="1">
      <alignment horizontal="center" vertical="center" wrapText="1"/>
      <protection/>
    </xf>
    <xf numFmtId="4" fontId="16" fillId="0" borderId="22" xfId="63" applyNumberFormat="1" applyFont="1" applyFill="1" applyBorder="1" applyAlignment="1">
      <alignment horizontal="center" vertical="center" wrapText="1"/>
      <protection/>
    </xf>
    <xf numFmtId="4" fontId="16" fillId="0" borderId="23" xfId="63" applyNumberFormat="1" applyFont="1" applyFill="1" applyBorder="1" applyAlignment="1">
      <alignment horizontal="center" vertical="center" wrapText="1"/>
      <protection/>
    </xf>
    <xf numFmtId="3" fontId="16" fillId="0" borderId="115" xfId="83" applyNumberFormat="1" applyFont="1" applyFill="1" applyBorder="1" applyAlignment="1" applyProtection="1">
      <alignment horizontal="center" vertical="center" wrapText="1"/>
      <protection/>
    </xf>
    <xf numFmtId="3" fontId="16" fillId="0" borderId="105" xfId="83" applyNumberFormat="1" applyFont="1" applyFill="1" applyBorder="1" applyAlignment="1" applyProtection="1">
      <alignment horizontal="center" vertical="center" wrapText="1"/>
      <protection/>
    </xf>
    <xf numFmtId="49" fontId="6" fillId="0" borderId="0" xfId="63" applyNumberFormat="1" applyFont="1" applyFill="1" applyAlignment="1">
      <alignment horizontal="center"/>
      <protection/>
    </xf>
    <xf numFmtId="3" fontId="10" fillId="0" borderId="0" xfId="63" applyNumberFormat="1" applyFont="1" applyFill="1" applyBorder="1" applyAlignment="1">
      <alignment horizontal="center" vertical="center"/>
      <protection/>
    </xf>
    <xf numFmtId="3" fontId="10" fillId="0" borderId="0" xfId="63" applyNumberFormat="1" applyFont="1" applyFill="1" applyAlignment="1">
      <alignment horizontal="center"/>
      <protection/>
    </xf>
    <xf numFmtId="3" fontId="10" fillId="0" borderId="0" xfId="63" applyNumberFormat="1" applyFont="1" applyFill="1" applyAlignment="1" applyProtection="1">
      <alignment horizontal="left"/>
      <protection locked="0"/>
    </xf>
    <xf numFmtId="0" fontId="16" fillId="0" borderId="41" xfId="63" applyFont="1" applyBorder="1" applyAlignment="1">
      <alignment horizontal="center" vertical="center"/>
      <protection/>
    </xf>
    <xf numFmtId="0" fontId="16" fillId="0" borderId="43" xfId="63" applyFont="1" applyBorder="1" applyAlignment="1">
      <alignment horizontal="center" vertical="center"/>
      <protection/>
    </xf>
    <xf numFmtId="0" fontId="17" fillId="0" borderId="0" xfId="63" applyFont="1" applyBorder="1" applyAlignment="1">
      <alignment/>
      <protection/>
    </xf>
    <xf numFmtId="0" fontId="17" fillId="0" borderId="0" xfId="63" applyFont="1" applyAlignment="1">
      <alignment/>
      <protection/>
    </xf>
    <xf numFmtId="0" fontId="17" fillId="0" borderId="0" xfId="63" applyFont="1" applyAlignment="1">
      <alignment wrapText="1"/>
      <protection/>
    </xf>
    <xf numFmtId="185" fontId="10" fillId="0" borderId="0" xfId="83" applyNumberFormat="1" applyFont="1" applyFill="1" applyBorder="1" applyAlignment="1" applyProtection="1">
      <alignment horizontal="left" vertical="center" wrapText="1"/>
      <protection/>
    </xf>
    <xf numFmtId="0" fontId="10" fillId="0" borderId="0" xfId="63" applyFont="1" applyAlignment="1">
      <alignment horizontal="center"/>
      <protection/>
    </xf>
    <xf numFmtId="0" fontId="17" fillId="0" borderId="67" xfId="63" applyFont="1" applyBorder="1" applyAlignment="1">
      <alignment horizontal="center" vertical="center" wrapText="1"/>
      <protection/>
    </xf>
    <xf numFmtId="0" fontId="17" fillId="0" borderId="69" xfId="63" applyFont="1" applyBorder="1" applyAlignment="1">
      <alignment horizontal="center" vertical="center" wrapText="1"/>
      <protection/>
    </xf>
    <xf numFmtId="0" fontId="17" fillId="0" borderId="46" xfId="63" applyFont="1" applyBorder="1" applyAlignment="1">
      <alignment horizontal="center" vertical="center" wrapText="1"/>
      <protection/>
    </xf>
    <xf numFmtId="0" fontId="17" fillId="0" borderId="70" xfId="63" applyFont="1" applyBorder="1" applyAlignment="1">
      <alignment horizontal="center" vertical="center" wrapText="1"/>
      <protection/>
    </xf>
    <xf numFmtId="0" fontId="17" fillId="0" borderId="57" xfId="63" applyFont="1" applyBorder="1" applyAlignment="1">
      <alignment horizontal="center"/>
      <protection/>
    </xf>
    <xf numFmtId="0" fontId="17" fillId="0" borderId="49" xfId="63" applyFont="1" applyBorder="1" applyAlignment="1">
      <alignment horizontal="center"/>
      <protection/>
    </xf>
    <xf numFmtId="0" fontId="17" fillId="0" borderId="20" xfId="63" applyFont="1" applyBorder="1" applyAlignment="1">
      <alignment horizontal="center"/>
      <protection/>
    </xf>
    <xf numFmtId="3" fontId="16" fillId="0" borderId="57" xfId="63" applyNumberFormat="1" applyFont="1" applyFill="1" applyBorder="1" applyAlignment="1">
      <alignment horizontal="left" vertical="center" wrapText="1" indent="2"/>
      <protection/>
    </xf>
    <xf numFmtId="3" fontId="16" fillId="0" borderId="20" xfId="63" applyNumberFormat="1" applyFont="1" applyFill="1" applyBorder="1" applyAlignment="1">
      <alignment horizontal="left" vertical="center" wrapText="1" indent="2"/>
      <protection/>
    </xf>
    <xf numFmtId="3" fontId="17" fillId="0" borderId="0" xfId="63" applyNumberFormat="1" applyFont="1" applyFill="1" applyAlignment="1">
      <alignment horizontal="center" vertical="center" wrapText="1"/>
      <protection/>
    </xf>
    <xf numFmtId="3" fontId="16" fillId="0" borderId="41" xfId="63" applyNumberFormat="1" applyFont="1" applyFill="1" applyBorder="1" applyAlignment="1">
      <alignment horizontal="center" vertical="center"/>
      <protection/>
    </xf>
    <xf numFmtId="3" fontId="16" fillId="0" borderId="43" xfId="63" applyNumberFormat="1" applyFont="1" applyFill="1" applyBorder="1" applyAlignment="1">
      <alignment horizontal="center" vertical="center"/>
      <protection/>
    </xf>
    <xf numFmtId="3" fontId="16" fillId="0" borderId="57" xfId="63" applyNumberFormat="1" applyFont="1" applyFill="1" applyBorder="1" applyAlignment="1">
      <alignment horizontal="center" vertical="center"/>
      <protection/>
    </xf>
    <xf numFmtId="3" fontId="16" fillId="0" borderId="49" xfId="63" applyNumberFormat="1" applyFont="1" applyFill="1" applyBorder="1" applyAlignment="1">
      <alignment horizontal="center" vertical="center"/>
      <protection/>
    </xf>
    <xf numFmtId="3" fontId="16" fillId="0" borderId="20" xfId="63" applyNumberFormat="1" applyFont="1" applyFill="1" applyBorder="1" applyAlignment="1">
      <alignment horizontal="center" vertical="center"/>
      <protection/>
    </xf>
    <xf numFmtId="3" fontId="5" fillId="0" borderId="0" xfId="63" applyNumberFormat="1" applyFont="1" applyFill="1" applyAlignment="1">
      <alignment horizontal="center" vertical="center" wrapText="1"/>
      <protection/>
    </xf>
    <xf numFmtId="3" fontId="10" fillId="0" borderId="0" xfId="85" applyNumberFormat="1" applyFont="1" applyFill="1" applyAlignment="1" applyProtection="1">
      <alignment horizontal="center"/>
      <protection/>
    </xf>
    <xf numFmtId="3" fontId="16" fillId="0" borderId="102" xfId="85" applyNumberFormat="1" applyFont="1" applyFill="1" applyBorder="1" applyAlignment="1" applyProtection="1">
      <alignment horizontal="left" vertical="center" indent="1"/>
      <protection/>
    </xf>
    <xf numFmtId="3" fontId="16" fillId="0" borderId="49" xfId="85" applyNumberFormat="1" applyFont="1" applyFill="1" applyBorder="1" applyAlignment="1" applyProtection="1">
      <alignment horizontal="left" vertical="center" indent="1"/>
      <protection/>
    </xf>
    <xf numFmtId="3" fontId="16" fillId="0" borderId="55" xfId="85" applyNumberFormat="1" applyFont="1" applyFill="1" applyBorder="1" applyAlignment="1" applyProtection="1">
      <alignment horizontal="left" vertical="center" indent="1"/>
      <protection/>
    </xf>
    <xf numFmtId="3" fontId="16" fillId="0" borderId="20" xfId="85" applyNumberFormat="1" applyFont="1" applyFill="1" applyBorder="1" applyAlignment="1" applyProtection="1">
      <alignment horizontal="left" vertical="center" indent="1"/>
      <protection/>
    </xf>
    <xf numFmtId="3" fontId="16" fillId="0" borderId="0" xfId="85" applyNumberFormat="1" applyFont="1" applyFill="1" applyBorder="1" applyAlignment="1" applyProtection="1">
      <alignment horizontal="left" vertical="center" indent="1"/>
      <protection/>
    </xf>
    <xf numFmtId="3" fontId="6" fillId="0" borderId="0" xfId="83" applyNumberFormat="1" applyFont="1" applyFill="1" applyAlignment="1">
      <alignment horizontal="center"/>
      <protection/>
    </xf>
    <xf numFmtId="0" fontId="10" fillId="0" borderId="0" xfId="63" applyFont="1" applyFill="1" applyAlignment="1">
      <alignment horizontal="center" vertical="center" wrapText="1"/>
      <protection/>
    </xf>
    <xf numFmtId="49" fontId="16" fillId="0" borderId="57" xfId="63" applyNumberFormat="1" applyFont="1" applyFill="1" applyBorder="1" applyAlignment="1">
      <alignment horizontal="center" vertical="center" wrapText="1"/>
      <protection/>
    </xf>
    <xf numFmtId="49" fontId="16" fillId="0" borderId="49" xfId="63" applyNumberFormat="1" applyFont="1" applyFill="1" applyBorder="1" applyAlignment="1">
      <alignment horizontal="center" vertical="center" wrapText="1"/>
      <protection/>
    </xf>
    <xf numFmtId="49" fontId="16" fillId="0" borderId="20" xfId="63" applyNumberFormat="1" applyFont="1" applyFill="1" applyBorder="1" applyAlignment="1">
      <alignment horizontal="center" vertical="center" wrapText="1"/>
      <protection/>
    </xf>
    <xf numFmtId="185" fontId="10" fillId="0" borderId="0" xfId="63" applyNumberFormat="1" applyFont="1" applyFill="1" applyAlignment="1">
      <alignment horizontal="center" vertical="center" wrapText="1"/>
      <protection/>
    </xf>
    <xf numFmtId="185" fontId="15" fillId="0" borderId="52" xfId="63" applyNumberFormat="1" applyFont="1" applyFill="1" applyBorder="1" applyAlignment="1" applyProtection="1">
      <alignment horizontal="right" wrapText="1"/>
      <protection/>
    </xf>
    <xf numFmtId="0" fontId="10" fillId="0" borderId="0" xfId="63" applyFont="1" applyBorder="1" applyAlignment="1">
      <alignment horizontal="center" wrapText="1"/>
      <protection/>
    </xf>
    <xf numFmtId="188" fontId="16" fillId="0" borderId="115" xfId="63" applyNumberFormat="1" applyFont="1" applyFill="1" applyBorder="1" applyAlignment="1">
      <alignment horizontal="center" vertical="center" wrapText="1"/>
      <protection/>
    </xf>
    <xf numFmtId="188" fontId="16" fillId="0" borderId="111" xfId="63" applyNumberFormat="1" applyFont="1" applyFill="1" applyBorder="1" applyAlignment="1">
      <alignment horizontal="center" vertical="center" wrapText="1"/>
      <protection/>
    </xf>
    <xf numFmtId="0" fontId="16" fillId="0" borderId="61" xfId="63" applyFont="1" applyFill="1" applyBorder="1" applyAlignment="1">
      <alignment horizontal="center" vertical="center" wrapText="1"/>
      <protection/>
    </xf>
    <xf numFmtId="0" fontId="16" fillId="0" borderId="35" xfId="63" applyFont="1" applyFill="1" applyBorder="1" applyAlignment="1">
      <alignment horizontal="center" vertical="center" wrapText="1"/>
      <protection/>
    </xf>
    <xf numFmtId="49" fontId="16" fillId="0" borderId="103" xfId="63" applyNumberFormat="1" applyFont="1" applyFill="1" applyBorder="1" applyAlignment="1">
      <alignment horizontal="center" vertical="center" wrapText="1"/>
      <protection/>
    </xf>
    <xf numFmtId="49" fontId="16" fillId="0" borderId="117" xfId="63" applyNumberFormat="1" applyFont="1" applyFill="1" applyBorder="1" applyAlignment="1">
      <alignment horizontal="center" vertical="center" wrapText="1"/>
      <protection/>
    </xf>
    <xf numFmtId="49" fontId="16" fillId="0" borderId="60" xfId="63" applyNumberFormat="1" applyFont="1" applyFill="1" applyBorder="1" applyAlignment="1">
      <alignment horizontal="left" vertical="center" wrapText="1"/>
      <protection/>
    </xf>
    <xf numFmtId="49" fontId="16" fillId="0" borderId="36" xfId="63" applyNumberFormat="1" applyFont="1" applyFill="1" applyBorder="1" applyAlignment="1">
      <alignment horizontal="left" vertical="center" wrapText="1"/>
      <protection/>
    </xf>
    <xf numFmtId="3" fontId="10" fillId="0" borderId="0" xfId="63" applyNumberFormat="1" applyFont="1" applyAlignment="1">
      <alignment horizontal="center"/>
      <protection/>
    </xf>
    <xf numFmtId="3" fontId="6" fillId="0" borderId="0" xfId="63" applyNumberFormat="1" applyFont="1" applyFill="1" applyAlignment="1" applyProtection="1">
      <alignment horizontal="center"/>
      <protection locked="0"/>
    </xf>
    <xf numFmtId="3" fontId="6" fillId="0" borderId="0" xfId="63" applyNumberFormat="1" applyFont="1" applyFill="1" applyAlignment="1" applyProtection="1">
      <alignment horizontal="left"/>
      <protection locked="0"/>
    </xf>
    <xf numFmtId="0" fontId="42" fillId="0" borderId="0" xfId="63" applyFont="1" applyBorder="1" applyAlignment="1">
      <alignment horizontal="center" vertical="center" wrapText="1"/>
      <protection/>
    </xf>
    <xf numFmtId="0" fontId="42" fillId="0" borderId="67" xfId="63" applyFont="1" applyBorder="1" applyAlignment="1">
      <alignment horizontal="center" vertical="center"/>
      <protection/>
    </xf>
    <xf numFmtId="0" fontId="42" fillId="0" borderId="64" xfId="63" applyFont="1" applyBorder="1" applyAlignment="1">
      <alignment horizontal="center" vertical="center"/>
      <protection/>
    </xf>
    <xf numFmtId="0" fontId="42" fillId="0" borderId="13" xfId="63" applyFont="1" applyBorder="1" applyAlignment="1">
      <alignment horizontal="center" vertical="center"/>
      <protection/>
    </xf>
    <xf numFmtId="0" fontId="42" fillId="0" borderId="120" xfId="63" applyFont="1" applyBorder="1" applyAlignment="1">
      <alignment horizontal="center" vertical="center"/>
      <protection/>
    </xf>
    <xf numFmtId="0" fontId="42" fillId="0" borderId="67" xfId="63" applyFont="1" applyBorder="1" applyAlignment="1">
      <alignment horizontal="center"/>
      <protection/>
    </xf>
    <xf numFmtId="0" fontId="42" fillId="0" borderId="46" xfId="63" applyFont="1" applyBorder="1" applyAlignment="1">
      <alignment horizontal="center"/>
      <protection/>
    </xf>
    <xf numFmtId="0" fontId="43" fillId="0" borderId="101" xfId="63" applyFont="1" applyBorder="1" applyAlignment="1">
      <alignment horizontal="left" vertical="center"/>
      <protection/>
    </xf>
    <xf numFmtId="0" fontId="43" fillId="0" borderId="50" xfId="63" applyFont="1" applyBorder="1" applyAlignment="1">
      <alignment horizontal="left" vertical="center"/>
      <protection/>
    </xf>
    <xf numFmtId="0" fontId="43" fillId="0" borderId="59" xfId="63" applyFont="1" applyBorder="1" applyAlignment="1">
      <alignment horizontal="left" vertical="center"/>
      <protection/>
    </xf>
    <xf numFmtId="0" fontId="43" fillId="0" borderId="51" xfId="63" applyFont="1" applyBorder="1" applyAlignment="1">
      <alignment horizontal="left" vertical="center"/>
      <protection/>
    </xf>
    <xf numFmtId="0" fontId="42" fillId="0" borderId="66" xfId="63" applyFont="1" applyBorder="1" applyAlignment="1">
      <alignment horizontal="left"/>
      <protection/>
    </xf>
    <xf numFmtId="0" fontId="42" fillId="0" borderId="68" xfId="63" applyFont="1" applyBorder="1" applyAlignment="1">
      <alignment horizontal="left"/>
      <protection/>
    </xf>
    <xf numFmtId="0" fontId="42" fillId="0" borderId="57" xfId="63" applyFont="1" applyBorder="1" applyAlignment="1">
      <alignment horizontal="center" vertical="center" wrapText="1"/>
      <protection/>
    </xf>
    <xf numFmtId="0" fontId="42" fillId="0" borderId="20" xfId="63" applyFont="1" applyBorder="1" applyAlignment="1">
      <alignment horizontal="center" vertical="center" wrapText="1"/>
      <protection/>
    </xf>
    <xf numFmtId="0" fontId="42" fillId="0" borderId="57" xfId="63" applyFont="1" applyBorder="1" applyAlignment="1">
      <alignment horizontal="left" vertical="center" wrapText="1"/>
      <protection/>
    </xf>
    <xf numFmtId="0" fontId="42" fillId="0" borderId="49" xfId="63" applyFont="1" applyBorder="1" applyAlignment="1">
      <alignment horizontal="left" vertical="center" wrapText="1"/>
      <protection/>
    </xf>
    <xf numFmtId="0" fontId="42" fillId="0" borderId="57" xfId="63" applyFont="1" applyBorder="1" applyAlignment="1">
      <alignment horizontal="left" vertical="top" wrapText="1"/>
      <protection/>
    </xf>
    <xf numFmtId="0" fontId="42" fillId="0" borderId="49" xfId="63" applyFont="1" applyBorder="1" applyAlignment="1">
      <alignment horizontal="left" vertical="top" wrapText="1"/>
      <protection/>
    </xf>
    <xf numFmtId="0" fontId="42" fillId="0" borderId="57" xfId="63" applyFont="1" applyBorder="1" applyAlignment="1">
      <alignment horizontal="left"/>
      <protection/>
    </xf>
    <xf numFmtId="0" fontId="43" fillId="0" borderId="49" xfId="63" applyFont="1" applyBorder="1" applyAlignment="1">
      <alignment horizontal="left"/>
      <protection/>
    </xf>
    <xf numFmtId="0" fontId="43" fillId="0" borderId="59" xfId="63" applyFont="1" applyBorder="1" applyAlignment="1">
      <alignment horizontal="left"/>
      <protection/>
    </xf>
    <xf numFmtId="0" fontId="43" fillId="0" borderId="51" xfId="63" applyFont="1" applyBorder="1" applyAlignment="1">
      <alignment horizontal="left"/>
      <protection/>
    </xf>
    <xf numFmtId="0" fontId="43" fillId="0" borderId="63" xfId="63" applyFont="1" applyBorder="1" applyAlignment="1">
      <alignment horizontal="left"/>
      <protection/>
    </xf>
    <xf numFmtId="0" fontId="43" fillId="0" borderId="53" xfId="63" applyFont="1" applyBorder="1" applyAlignment="1">
      <alignment horizontal="left"/>
      <protection/>
    </xf>
    <xf numFmtId="0" fontId="21" fillId="0" borderId="0" xfId="63" applyFont="1" applyAlignment="1">
      <alignment horizontal="justify" vertical="top" wrapText="1"/>
      <protection/>
    </xf>
    <xf numFmtId="0" fontId="21" fillId="0" borderId="0" xfId="63" applyNumberFormat="1" applyFont="1" applyAlignment="1">
      <alignment horizontal="justify" vertical="top" wrapText="1"/>
      <protection/>
    </xf>
    <xf numFmtId="0" fontId="21" fillId="0" borderId="0" xfId="63" applyNumberFormat="1" applyFont="1" applyAlignment="1">
      <alignment vertical="top" wrapText="1"/>
      <protection/>
    </xf>
    <xf numFmtId="0" fontId="21" fillId="0" borderId="0" xfId="63" applyNumberFormat="1" applyFont="1" applyAlignment="1">
      <alignment horizontal="justify" vertical="top"/>
      <protection/>
    </xf>
    <xf numFmtId="0" fontId="21" fillId="0" borderId="0" xfId="63" applyNumberFormat="1" applyFont="1" applyBorder="1" applyAlignment="1">
      <alignment horizontal="justify" vertical="top" wrapText="1"/>
      <protection/>
    </xf>
    <xf numFmtId="0" fontId="41" fillId="0" borderId="0" xfId="63" applyFont="1" applyAlignment="1">
      <alignment horizontal="justify" vertical="top"/>
      <protection/>
    </xf>
    <xf numFmtId="0" fontId="21" fillId="0" borderId="0" xfId="63" applyNumberFormat="1" applyFont="1" applyAlignment="1">
      <alignment horizontal="left" vertical="top" wrapText="1"/>
      <protection/>
    </xf>
    <xf numFmtId="0" fontId="25" fillId="0" borderId="0" xfId="63" applyNumberFormat="1" applyFont="1" applyAlignment="1">
      <alignment horizontal="center" vertical="top"/>
      <protection/>
    </xf>
    <xf numFmtId="0" fontId="47" fillId="0" borderId="0" xfId="63" applyNumberFormat="1" applyFont="1" applyAlignment="1">
      <alignment horizontal="justify" vertical="top"/>
      <protection/>
    </xf>
    <xf numFmtId="0" fontId="10" fillId="0" borderId="0" xfId="63" applyFont="1" applyAlignment="1">
      <alignment horizontal="center" vertical="center" wrapText="1"/>
      <protection/>
    </xf>
    <xf numFmtId="0" fontId="17" fillId="0" borderId="67" xfId="63" applyFont="1" applyBorder="1" applyAlignment="1">
      <alignment horizontal="center" wrapText="1"/>
      <protection/>
    </xf>
    <xf numFmtId="0" fontId="17" fillId="0" borderId="69" xfId="63" applyFont="1" applyBorder="1" applyAlignment="1">
      <alignment horizontal="center" wrapText="1"/>
      <protection/>
    </xf>
    <xf numFmtId="0" fontId="17" fillId="0" borderId="46" xfId="63" applyFont="1" applyBorder="1" applyAlignment="1">
      <alignment horizontal="center" wrapText="1"/>
      <protection/>
    </xf>
    <xf numFmtId="0" fontId="17" fillId="0" borderId="33" xfId="63" applyFont="1" applyBorder="1" applyAlignment="1">
      <alignment horizontal="center" wrapText="1"/>
      <protection/>
    </xf>
    <xf numFmtId="0" fontId="17" fillId="0" borderId="67" xfId="63" applyFont="1" applyBorder="1" applyAlignment="1">
      <alignment horizontal="center"/>
      <protection/>
    </xf>
    <xf numFmtId="0" fontId="17" fillId="0" borderId="45" xfId="63" applyFont="1" applyBorder="1" applyAlignment="1">
      <alignment horizontal="center"/>
      <protection/>
    </xf>
    <xf numFmtId="0" fontId="17" fillId="0" borderId="46" xfId="63" applyFont="1" applyBorder="1" applyAlignment="1">
      <alignment horizontal="center"/>
      <protection/>
    </xf>
    <xf numFmtId="0" fontId="4" fillId="0" borderId="65" xfId="62" applyBorder="1" applyAlignment="1">
      <alignment vertical="center"/>
      <protection/>
    </xf>
    <xf numFmtId="0" fontId="4" fillId="0" borderId="51" xfId="62" applyBorder="1" applyAlignment="1">
      <alignment vertical="center"/>
      <protection/>
    </xf>
    <xf numFmtId="0" fontId="4" fillId="0" borderId="26" xfId="62" applyBorder="1" applyAlignment="1">
      <alignment vertical="center"/>
      <protection/>
    </xf>
    <xf numFmtId="0" fontId="12" fillId="0" borderId="0" xfId="62" applyFont="1" applyAlignment="1">
      <alignment horizontal="center" vertical="top" wrapText="1"/>
      <protection/>
    </xf>
    <xf numFmtId="0" fontId="8" fillId="0" borderId="65" xfId="62" applyFont="1" applyBorder="1" applyAlignment="1">
      <alignment horizontal="center" vertical="center" wrapText="1"/>
      <protection/>
    </xf>
    <xf numFmtId="0" fontId="8" fillId="0" borderId="51" xfId="62" applyFont="1" applyBorder="1" applyAlignment="1">
      <alignment horizontal="center" vertical="center" wrapText="1"/>
      <protection/>
    </xf>
    <xf numFmtId="0" fontId="8" fillId="0" borderId="26" xfId="62" applyFont="1" applyBorder="1" applyAlignment="1">
      <alignment horizontal="center" vertical="center" wrapText="1"/>
      <protection/>
    </xf>
    <xf numFmtId="0" fontId="10" fillId="0" borderId="103" xfId="62" applyFont="1" applyBorder="1" applyAlignment="1">
      <alignment horizontal="center" vertical="center" wrapText="1"/>
      <protection/>
    </xf>
    <xf numFmtId="0" fontId="10" fillId="0" borderId="121" xfId="62" applyFont="1" applyBorder="1" applyAlignment="1">
      <alignment horizontal="center" vertical="center" wrapText="1"/>
      <protection/>
    </xf>
    <xf numFmtId="0" fontId="10" fillId="0" borderId="60" xfId="62" applyFont="1" applyBorder="1" applyAlignment="1">
      <alignment horizontal="center" vertical="center" wrapText="1"/>
      <protection/>
    </xf>
    <xf numFmtId="0" fontId="10" fillId="0" borderId="122" xfId="62" applyFont="1" applyBorder="1" applyAlignment="1">
      <alignment horizontal="center" vertical="center" wrapText="1"/>
      <protection/>
    </xf>
    <xf numFmtId="0" fontId="10" fillId="0" borderId="64" xfId="62" applyFont="1" applyBorder="1" applyAlignment="1">
      <alignment horizontal="center" vertical="center" wrapText="1"/>
      <protection/>
    </xf>
    <xf numFmtId="0" fontId="10" fillId="0" borderId="54" xfId="62" applyFont="1" applyBorder="1" applyAlignment="1">
      <alignment horizontal="center" vertical="center" wrapText="1"/>
      <protection/>
    </xf>
    <xf numFmtId="0" fontId="10" fillId="0" borderId="47" xfId="62" applyFont="1" applyBorder="1" applyAlignment="1">
      <alignment horizontal="center" vertical="center" wrapText="1"/>
      <protection/>
    </xf>
  </cellXfs>
  <cellStyles count="8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2 2" xfId="43"/>
    <cellStyle name="Ezres 2 3" xfId="44"/>
    <cellStyle name="Ezres 3" xfId="45"/>
    <cellStyle name="Figyelmeztetés" xfId="46"/>
    <cellStyle name="Hiperhivatkozás" xfId="47"/>
    <cellStyle name="Hyperlink" xfId="48"/>
    <cellStyle name="Hivatkozott cella" xfId="49"/>
    <cellStyle name="Jegyzet" xfId="50"/>
    <cellStyle name="Jelölőszín (1)" xfId="51"/>
    <cellStyle name="Jelölőszín (2)" xfId="52"/>
    <cellStyle name="Jelölőszín (3)" xfId="53"/>
    <cellStyle name="Jelölőszín (4)" xfId="54"/>
    <cellStyle name="Jelölőszín (5)" xfId="55"/>
    <cellStyle name="Jelölőszín (6)" xfId="56"/>
    <cellStyle name="Jó" xfId="57"/>
    <cellStyle name="Kimenet" xfId="58"/>
    <cellStyle name="ktsgv" xfId="59"/>
    <cellStyle name="Magyarázó szöveg" xfId="60"/>
    <cellStyle name="Már látott hiperhivatkozás" xfId="61"/>
    <cellStyle name="Normál 2" xfId="62"/>
    <cellStyle name="Normál 2 2" xfId="63"/>
    <cellStyle name="Normál 2 3" xfId="64"/>
    <cellStyle name="Normál 2 4" xfId="65"/>
    <cellStyle name="Normál 3" xfId="66"/>
    <cellStyle name="Normál 3 2" xfId="67"/>
    <cellStyle name="Normál 4" xfId="68"/>
    <cellStyle name="Normál 4 2" xfId="69"/>
    <cellStyle name="Normál 4 3" xfId="70"/>
    <cellStyle name="Normál 5" xfId="71"/>
    <cellStyle name="Normál 5 2" xfId="72"/>
    <cellStyle name="Normál 6" xfId="73"/>
    <cellStyle name="Normál 6 2" xfId="74"/>
    <cellStyle name="Normál 7" xfId="75"/>
    <cellStyle name="Normál 8" xfId="76"/>
    <cellStyle name="Normál 9" xfId="77"/>
    <cellStyle name="Normál_adótelj_terv04" xfId="78"/>
    <cellStyle name="Normal_KARSZJ3" xfId="79"/>
    <cellStyle name="Normál_ktgv2008_másodikforduló" xfId="80"/>
    <cellStyle name="Normal_KTRSZJ" xfId="81"/>
    <cellStyle name="Normál_kv05első" xfId="82"/>
    <cellStyle name="Normál_KVRENMUNKA" xfId="83"/>
    <cellStyle name="Normál_Munkafüzet1" xfId="84"/>
    <cellStyle name="Normál_SEGEDLETEK" xfId="85"/>
    <cellStyle name="Normál12" xfId="86"/>
    <cellStyle name="Összesen" xfId="87"/>
    <cellStyle name="Currency" xfId="88"/>
    <cellStyle name="Currency [0]" xfId="89"/>
    <cellStyle name="Rossz" xfId="90"/>
    <cellStyle name="Semleges" xfId="91"/>
    <cellStyle name="SIMA" xfId="92"/>
    <cellStyle name="Számítás" xfId="93"/>
    <cellStyle name="Percent" xfId="94"/>
    <cellStyle name="Százalék 2" xfId="95"/>
    <cellStyle name="Százalék 2 2" xfId="96"/>
    <cellStyle name="Százalék 2 3" xfId="97"/>
    <cellStyle name="Százalék 2 4" xfId="98"/>
    <cellStyle name="Százalék 3" xfId="99"/>
    <cellStyle name="Százalék 4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externalLink" Target="externalLinks/externalLink1.xml" /><Relationship Id="rId31" Type="http://schemas.openxmlformats.org/officeDocument/2006/relationships/externalLink" Target="externalLinks/externalLink2.xml" /><Relationship Id="rId32" Type="http://schemas.openxmlformats.org/officeDocument/2006/relationships/externalLink" Target="externalLinks/externalLink3.xml" /><Relationship Id="rId33" Type="http://schemas.openxmlformats.org/officeDocument/2006/relationships/externalLink" Target="externalLinks/externalLink4.xml" /><Relationship Id="rId3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SEGIG-PC\Users\Dokumentumok\T&#246;bbc&#233;l&#250;Kist&#233;rs&#233;giT&#225;rsul&#225;s\K&#246;lts&#233;gvet&#233;s_2007\ktge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SEGIG-PC\Users\Dokumentumok\T&#246;bbc&#233;l&#250;Kist&#233;rs&#233;giT&#225;rsul&#225;s\Normat&#237;va_2006\BMelfogadott20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SEGIG-PC\Users\Dokumentumok\T&#246;bbc&#233;l&#250;Kist&#233;rs&#233;giT&#225;rsul&#225;s\Normat&#237;va_2007\normat&#237;vafelm&#233;r&#233;s200611h&#243;\4002_kit&#246;lt&#246;tt1204(V&#201;GLEGES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hsrv2\users\Documents%20and%20Settings\dr.morvai.zsolt\Local%20Settings\Temporary%20Internet%20Files\Content.Outlook\LJMUNK93\Tervez&#233;s\Munkaanyag\2014.%20&#233;vi%20k&#246;lts&#233;gvet&#233;s%20MUNKANYAG%20IIfordul&#24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salseg Kieg"/>
      <sheetName val="BérPH"/>
      <sheetName val="Normatíva2007"/>
      <sheetName val="Tagi hozzájárulás"/>
      <sheetName val="BEV-KIAD"/>
      <sheetName val="Lakosság"/>
      <sheetName val="Pénzmaradván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od"/>
      <sheetName val="Segéd-összesítő"/>
      <sheetName val="Összesítő"/>
      <sheetName val="Adat-felmérő"/>
      <sheetName val="Közokt. kieg"/>
    </sheetNames>
    <sheetDataSet>
      <sheetData sheetId="0">
        <row r="8">
          <cell r="CD8" t="str">
            <v>Aba</v>
          </cell>
        </row>
        <row r="9">
          <cell r="CD9" t="str">
            <v>Abádszalók</v>
          </cell>
        </row>
        <row r="10">
          <cell r="CD10" t="str">
            <v>Abaliget</v>
          </cell>
        </row>
        <row r="11">
          <cell r="CD11" t="str">
            <v>Abasár</v>
          </cell>
        </row>
        <row r="12">
          <cell r="CD12" t="str">
            <v>Abaújalpár</v>
          </cell>
        </row>
        <row r="13">
          <cell r="CD13" t="str">
            <v>Abaújkér</v>
          </cell>
        </row>
        <row r="14">
          <cell r="CD14" t="str">
            <v>Abaújlak</v>
          </cell>
        </row>
        <row r="15">
          <cell r="CD15" t="str">
            <v>Abaújszántó</v>
          </cell>
        </row>
        <row r="16">
          <cell r="CD16" t="str">
            <v>Abaújszolnok</v>
          </cell>
        </row>
        <row r="17">
          <cell r="CD17" t="str">
            <v>Abaújvár</v>
          </cell>
        </row>
        <row r="18">
          <cell r="CD18" t="str">
            <v>Abda</v>
          </cell>
        </row>
        <row r="19">
          <cell r="CD19" t="str">
            <v>Abod</v>
          </cell>
        </row>
        <row r="20">
          <cell r="CD20" t="str">
            <v>Abony</v>
          </cell>
        </row>
        <row r="21">
          <cell r="CD21" t="str">
            <v>Ábrahámhegy</v>
          </cell>
        </row>
        <row r="22">
          <cell r="CD22" t="str">
            <v>Ács</v>
          </cell>
        </row>
        <row r="23">
          <cell r="CD23" t="str">
            <v>Acsa</v>
          </cell>
        </row>
        <row r="24">
          <cell r="CD24" t="str">
            <v>Acsád</v>
          </cell>
        </row>
        <row r="25">
          <cell r="CD25" t="str">
            <v>Acsalag</v>
          </cell>
        </row>
        <row r="26">
          <cell r="CD26" t="str">
            <v>Ácsteszér</v>
          </cell>
        </row>
        <row r="27">
          <cell r="CD27" t="str">
            <v>Adács</v>
          </cell>
        </row>
        <row r="28">
          <cell r="CD28" t="str">
            <v>Ádánd</v>
          </cell>
        </row>
        <row r="29">
          <cell r="CD29" t="str">
            <v>Adásztevel</v>
          </cell>
        </row>
        <row r="30">
          <cell r="CD30" t="e">
            <v>#N/A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)"/>
      <sheetName val="2.2.2.-2.4. feladatok"/>
      <sheetName val="2.5.-2.8. feladatok"/>
      <sheetName val="Szakszolgálat-segéd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őkönyvi számok 2014"/>
      <sheetName val="Bevételek2014"/>
      <sheetName val="Tartalomjegyzék"/>
      <sheetName val="Közfogl2014"/>
      <sheetName val="EI2014"/>
      <sheetName val="Változások"/>
      <sheetName val="1.mell._Össz_Mérleg2014"/>
      <sheetName val="1.1.mell._ÖNK_Mérleg2014"/>
      <sheetName val="1.2.mell._PH_Mérleg2014"/>
      <sheetName val="1.3.mell._HVÓBKI_Mérleg2014"/>
      <sheetName val="1.4.mell._HKK_Mérleg2014"/>
      <sheetName val="2.a.mell._MMérleg2014"/>
      <sheetName val="2.b.mell._FMérleg2014"/>
      <sheetName val="3. mell._létszám2014"/>
      <sheetName val="EUprojektek2013"/>
      <sheetName val="4. mell. EUprojektek2014"/>
      <sheetName val="5.mell_adósság2014"/>
      <sheetName val="6.mell_Többévesköt.2014"/>
      <sheetName val="7. mell_KözvetettTám2014"/>
      <sheetName val="8.mell_EIfelhterv2014"/>
      <sheetName val="9.mell_ÖsszMérleg(telj)2014"/>
      <sheetName val="10.mell_támogatások2014"/>
      <sheetName val="11.mell_felhKiad2014"/>
      <sheetName val="12.mell_céltámogatások2014"/>
      <sheetName val="13.mell_ÖNKfeladatok2014"/>
      <sheetName val="14.mell_Önk kiegészítés2014"/>
      <sheetName val="15.mell_Tartozások2013"/>
      <sheetName val="16.mell_Étkezésdíj2014"/>
      <sheetName val="1.függVárosüzem2014"/>
      <sheetName val="2.függ_adósság2014 (határozat)"/>
      <sheetName val="cimlapA"/>
      <sheetName val="01"/>
      <sheetName val="02"/>
      <sheetName val="03"/>
      <sheetName val="04"/>
      <sheetName val="08"/>
      <sheetName val="09"/>
      <sheetName val="jogviszony"/>
      <sheetName val="10"/>
      <sheetName val="cimlapA (B)"/>
      <sheetName val="01 (B)"/>
      <sheetName val="02 (B)"/>
      <sheetName val="03 (B)"/>
      <sheetName val="04 (B)"/>
      <sheetName val="05 (B)"/>
      <sheetName val="06 (B)"/>
      <sheetName val="07 (B)"/>
      <sheetName val="08 (B)"/>
      <sheetName val="09 (B)"/>
      <sheetName val="jogviszony (B)"/>
      <sheetName val="10 (B)"/>
      <sheetName val="11a (B)"/>
      <sheetName val="11b (B)"/>
      <sheetName val="11c (B)"/>
      <sheetName val="11d (B)"/>
      <sheetName val="11e (B)"/>
      <sheetName val="11f (B)"/>
      <sheetName val="12 (B)"/>
      <sheetName val="13 (B)"/>
      <sheetName val="14 (B)"/>
      <sheetName val="15 (B)"/>
      <sheetName val="16 (B)"/>
      <sheetName val="17a (B)"/>
      <sheetName val="17b (B)"/>
      <sheetName val="17c (B)"/>
      <sheetName val="17d (B)"/>
      <sheetName val="17e (B)"/>
      <sheetName val="17f (B)"/>
      <sheetName val="17g (B)"/>
    </sheetNames>
    <sheetDataSet>
      <sheetData sheetId="4">
        <row r="1">
          <cell r="G1">
            <v>1</v>
          </cell>
          <cell r="H1">
            <v>2</v>
          </cell>
          <cell r="I1">
            <v>3</v>
          </cell>
          <cell r="J1">
            <v>4</v>
          </cell>
          <cell r="K1">
            <v>5</v>
          </cell>
          <cell r="L1">
            <v>6</v>
          </cell>
          <cell r="M1">
            <v>7</v>
          </cell>
          <cell r="N1">
            <v>8</v>
          </cell>
          <cell r="O1">
            <v>9</v>
          </cell>
          <cell r="P1">
            <v>10</v>
          </cell>
          <cell r="Q1">
            <v>11</v>
          </cell>
          <cell r="R1">
            <v>12</v>
          </cell>
          <cell r="S1">
            <v>13</v>
          </cell>
          <cell r="T1">
            <v>14</v>
          </cell>
          <cell r="U1">
            <v>15</v>
          </cell>
          <cell r="V1">
            <v>16</v>
          </cell>
          <cell r="W1">
            <v>17</v>
          </cell>
          <cell r="X1">
            <v>18</v>
          </cell>
          <cell r="Y1">
            <v>19</v>
          </cell>
          <cell r="Z1">
            <v>20</v>
          </cell>
          <cell r="AA1">
            <v>21</v>
          </cell>
          <cell r="AB1">
            <v>22</v>
          </cell>
          <cell r="AC1">
            <v>23</v>
          </cell>
          <cell r="AD1">
            <v>24</v>
          </cell>
          <cell r="AE1">
            <v>25</v>
          </cell>
          <cell r="AF1">
            <v>26</v>
          </cell>
          <cell r="AG1">
            <v>27</v>
          </cell>
          <cell r="AH1">
            <v>28</v>
          </cell>
          <cell r="AI1">
            <v>29</v>
          </cell>
          <cell r="AJ1">
            <v>30</v>
          </cell>
          <cell r="AK1">
            <v>31</v>
          </cell>
          <cell r="AL1">
            <v>32</v>
          </cell>
          <cell r="AM1">
            <v>33</v>
          </cell>
          <cell r="AN1">
            <v>34</v>
          </cell>
          <cell r="AO1">
            <v>35</v>
          </cell>
          <cell r="AP1">
            <v>36</v>
          </cell>
          <cell r="AQ1">
            <v>37</v>
          </cell>
          <cell r="AR1">
            <v>38</v>
          </cell>
          <cell r="AS1">
            <v>39</v>
          </cell>
          <cell r="AT1">
            <v>40</v>
          </cell>
          <cell r="AU1">
            <v>41</v>
          </cell>
          <cell r="AV1">
            <v>42</v>
          </cell>
          <cell r="AW1">
            <v>43</v>
          </cell>
          <cell r="AX1">
            <v>44</v>
          </cell>
          <cell r="AY1">
            <v>45</v>
          </cell>
          <cell r="AZ1">
            <v>46</v>
          </cell>
          <cell r="BA1">
            <v>47</v>
          </cell>
          <cell r="BB1">
            <v>48</v>
          </cell>
          <cell r="BC1">
            <v>49</v>
          </cell>
          <cell r="BD1">
            <v>50</v>
          </cell>
          <cell r="BE1">
            <v>51</v>
          </cell>
          <cell r="BF1">
            <v>52</v>
          </cell>
          <cell r="BG1">
            <v>53</v>
          </cell>
          <cell r="BH1">
            <v>54</v>
          </cell>
          <cell r="BI1">
            <v>55</v>
          </cell>
          <cell r="BJ1">
            <v>56</v>
          </cell>
          <cell r="BK1">
            <v>57</v>
          </cell>
          <cell r="BL1">
            <v>58</v>
          </cell>
          <cell r="BM1">
            <v>59</v>
          </cell>
          <cell r="BN1">
            <v>60</v>
          </cell>
          <cell r="BO1">
            <v>61</v>
          </cell>
          <cell r="BP1">
            <v>62</v>
          </cell>
          <cell r="BQ1">
            <v>63</v>
          </cell>
          <cell r="BR1">
            <v>64</v>
          </cell>
          <cell r="BS1">
            <v>65</v>
          </cell>
          <cell r="BT1">
            <v>66</v>
          </cell>
          <cell r="BU1">
            <v>67</v>
          </cell>
          <cell r="BV1">
            <v>68</v>
          </cell>
          <cell r="BW1">
            <v>69</v>
          </cell>
          <cell r="BX1">
            <v>70</v>
          </cell>
          <cell r="BY1">
            <v>71</v>
          </cell>
        </row>
        <row r="2">
          <cell r="G2" t="str">
            <v>Állampolgársági ügyek</v>
          </cell>
          <cell r="H2" t="str">
            <v>Önkormányzatok és önkormányzati hivatalok jogalkotó és általános igazgatási tevékenysége</v>
          </cell>
          <cell r="I2" t="str">
            <v>Önkormányzatok és önkormányzati hivatalok jogalkotó és általános igazgatási tevékenysége</v>
          </cell>
          <cell r="J2" t="str">
            <v>Adó-, vám- és jövedéki igazgatás</v>
          </cell>
          <cell r="K2" t="str">
            <v>Köztemető-fenntartás és -működtetés</v>
          </cell>
          <cell r="L2" t="str">
            <v>Az önkormányzati vagyonnal való gazdálkodással kapcsolatos feladatok (nem szociális bérlakás)</v>
          </cell>
          <cell r="M2" t="str">
            <v>Az önkormányzati vagyonnal való gazdálkodással kapcsolatos feladatok (önkormányzati tulajdonú üzlethelyiségek, irodák, más ingatlanok hasznosítása)</v>
          </cell>
          <cell r="N2" t="str">
            <v>Más szerv részére végzett pénzügyi-gazdálkodási, üzemeltetési, egyéb szolgáltatások</v>
          </cell>
          <cell r="O2" t="str">
            <v>Országos és helyi népszavazással kapcsolatos tevékenységek</v>
          </cell>
          <cell r="P2" t="str">
            <v>Önkormányzatok elszámolásai a központi költségvetéssel</v>
          </cell>
          <cell r="Q2" t="str">
            <v>Központi költségvetési befizetések</v>
          </cell>
          <cell r="R2" t="str">
            <v>A polgári honvédelem ágazati feladatai, a lakosság felkészítése</v>
          </cell>
          <cell r="S2" t="str">
            <v>Rövid időtartamú közfoglalkoztatás </v>
          </cell>
          <cell r="T2" t="str">
            <v>Start-munka program – Téli közfoglalkoztatás</v>
          </cell>
          <cell r="U2" t="str">
            <v>Hosszabb időtartamú közfoglalkoztatás</v>
          </cell>
          <cell r="V2" t="str">
            <v>Országos közfoglalkoztatási program</v>
          </cell>
          <cell r="W2" t="str">
            <v>Közfoglalkoztatási mintaprogram</v>
          </cell>
          <cell r="X2" t="str">
            <v>Állat-egészségügy</v>
          </cell>
          <cell r="Y2" t="str">
            <v>Út, autópálya építése</v>
          </cell>
          <cell r="Z2" t="str">
            <v>Városi és elővárosi közúti személyszállítás</v>
          </cell>
          <cell r="AA2" t="str">
            <v>Közutak, hidak, alagutak üzemeltetése, fenntartása</v>
          </cell>
          <cell r="AB2" t="str">
            <v>Ár- és belvízvédelemmel összefüggő tevékenységek</v>
          </cell>
          <cell r="AC2" t="str">
            <v>Nem veszélyes (települési) hulladék vegyes (ömlesztett) begyűjtése, szállítása, átrakása</v>
          </cell>
          <cell r="AD2" t="str">
            <v>Víztermelés, -kezelés, -ellátás</v>
          </cell>
          <cell r="AE2" t="str">
            <v>Közvilágítás</v>
          </cell>
          <cell r="AF2" t="str">
            <v>Zöldterület-kezelés</v>
          </cell>
          <cell r="AG2" t="str">
            <v>Város-, községgazdálkodási m.n.s. szolgáltatások </v>
          </cell>
          <cell r="AH2" t="str">
            <v>Járóbetegek gyógyító szakellátása</v>
          </cell>
          <cell r="AI2" t="str">
            <v>Sportlétesítmények, edzőtáborok működtetése és fejlesztése</v>
          </cell>
          <cell r="AJ2" t="str">
            <v>Versenysport-és utánpótlás-nevelési tevékenység</v>
          </cell>
          <cell r="AK2" t="str">
            <v>Helyi közösségi tér biztosítása, működtetése</v>
          </cell>
          <cell r="AL2" t="str">
            <v>Betegséggel kapcsolatos pénzbeli ellátások, támogatások</v>
          </cell>
          <cell r="AM2" t="str">
            <v>Betegséggel kapcsolatos pénzbeli ellátások, támogatások</v>
          </cell>
          <cell r="AN2" t="str">
            <v>Fogyatékossággal összefüggő pénzbeli ellátások, támogatások</v>
          </cell>
          <cell r="AO2" t="str">
            <v>Időskorral összefüggő pénzbeli ellátások</v>
          </cell>
          <cell r="AP2" t="str">
            <v>Gyermekvédelmi pénzbeli és természetbeni ellátások</v>
          </cell>
          <cell r="AQ2" t="str">
            <v>Gyermekvédelmi pénzbeli és természetbeni ellátások</v>
          </cell>
          <cell r="AR2" t="str">
            <v>Gyermekvédelmi pénzbeli és természetbeni ellátások</v>
          </cell>
          <cell r="AS2" t="str">
            <v>Gyermekvédelmi pénzbeli és természetbeni ellátások</v>
          </cell>
          <cell r="AT2" t="str">
            <v>Gyermekvédelmi pénzbeli és természetbeni ellátások</v>
          </cell>
          <cell r="AU2" t="str">
            <v>Munkanélküli aktív korúak ellátásai</v>
          </cell>
          <cell r="AV2" t="str">
            <v>Lakásfenntartással, lakhatással összefüggő ellátások</v>
          </cell>
          <cell r="AW2" t="str">
            <v>Egyéb szociális pénzbeli ellátások, támogatások</v>
          </cell>
          <cell r="AX2" t="str">
            <v>Egyéb szociális természetbeni és pénzbeli ellátások</v>
          </cell>
          <cell r="AY2" t="str">
            <v>Forgatási és befektetési célú finanszírozási műveletek</v>
          </cell>
          <cell r="AZ2" t="str">
            <v>Funkciók szerint bontandó</v>
          </cell>
          <cell r="BA2" t="str">
            <v>Közbiztonság, közrend igazgatása</v>
          </cell>
          <cell r="BB2" t="str">
            <v>Lakáshoz jutást segítő támogatások</v>
          </cell>
          <cell r="BC2" t="str">
            <v>Város-, községgazdálkodási m.n.s. szolgáltatások </v>
          </cell>
          <cell r="BD2" t="str">
            <v>Mindenféle egyéb szabadidős szolgáltatás</v>
          </cell>
          <cell r="BE2" t="str">
            <v>Civil szervezetek programtámogatása</v>
          </cell>
          <cell r="BF2" t="str">
            <v>Hallgatói és oktatói ösztöndíjak, egyéb juttatások</v>
          </cell>
          <cell r="BG2" t="str">
            <v>Betegséggel kapcsolatos pénzbeli ellátások, támogatások</v>
          </cell>
          <cell r="BH2" t="str">
            <v>Fogyatékossággal összefüggő pénzbeli ellátások, támogatások</v>
          </cell>
          <cell r="BI2" t="str">
            <v>Elhunyt személyek hátramaradottainak pénzbeli ellátása</v>
          </cell>
          <cell r="BJ2" t="str">
            <v>Lakásfenntartással, lakhatással összefüggő ellátások</v>
          </cell>
          <cell r="BK2" t="str">
            <v>Lakásfenntartással, lakhatással összefüggő ellátások</v>
          </cell>
          <cell r="BL2" t="str">
            <v>Szakterület szerint besorolandó</v>
          </cell>
          <cell r="BM2" t="str">
            <v>Funkciók szerint bontandó</v>
          </cell>
          <cell r="BN2" t="str">
            <v>Országgyűlési, önkormányzati és európai parlamenti képviselőválasztásokhoz kapcsolódó tevékenységek</v>
          </cell>
          <cell r="BO2" t="str">
            <v>Országgyűlési, önkormányzati és európai parlamenti képviselőválasztásokhoz kapcsolódó tevékenységek</v>
          </cell>
          <cell r="BP2" t="str">
            <v>Országgyűlési, önkormányzati és európai parlamenti képviselőválasztásokhoz kapcsolódó tevékenységek</v>
          </cell>
          <cell r="BQ2" t="str">
            <v>Országgyűlési, önkormányzati és európai parlamenti képviselőválasztásokhoz kapcsolódó tevékenységek</v>
          </cell>
          <cell r="BR2" t="str">
            <v>Önkormányzatok és önkormányzati hivatalok jogalkotó és általános igazgatási tevékenysége</v>
          </cell>
          <cell r="BS2" t="str">
            <v>Önkormányzatok és önkormányzati hivatalok jogalkotó és általános igazgatási tevékenysége</v>
          </cell>
          <cell r="BT2" t="str">
            <v>Önkormányzatok és önkormányzati hivatalok jogalkotó és általános igazgatási tevékenysége</v>
          </cell>
          <cell r="BU2" t="str">
            <v>Más szerv részére végzett pénzügyi-gazdálkodási, üzemeltetési, egyéb szolgáltatások</v>
          </cell>
          <cell r="BV2" t="str">
            <v>Lakáshoz jutást segítő támogatások</v>
          </cell>
          <cell r="BW2" t="str">
            <v>Önmagában nem közfeladat, alaptevékenység szerinti funkcióhoz</v>
          </cell>
          <cell r="BX2" t="str">
            <v>-</v>
          </cell>
        </row>
        <row r="3">
          <cell r="G3" t="str">
            <v>0160</v>
          </cell>
          <cell r="H3" t="str">
            <v>0111</v>
          </cell>
          <cell r="I3" t="str">
            <v>0111</v>
          </cell>
          <cell r="J3" t="str">
            <v>0112</v>
          </cell>
          <cell r="K3" t="str">
            <v>0133</v>
          </cell>
          <cell r="L3" t="str">
            <v>0133</v>
          </cell>
          <cell r="M3" t="str">
            <v>0133</v>
          </cell>
          <cell r="N3" t="str">
            <v>0133</v>
          </cell>
          <cell r="O3" t="str">
            <v>0160</v>
          </cell>
          <cell r="P3" t="str">
            <v>0180</v>
          </cell>
          <cell r="Q3" t="str">
            <v>0180</v>
          </cell>
          <cell r="R3" t="str">
            <v>0220</v>
          </cell>
          <cell r="S3" t="str">
            <v>0412</v>
          </cell>
          <cell r="T3" t="str">
            <v>0412</v>
          </cell>
          <cell r="U3" t="str">
            <v>0412</v>
          </cell>
          <cell r="V3" t="str">
            <v>0412</v>
          </cell>
          <cell r="W3" t="str">
            <v>0412</v>
          </cell>
          <cell r="X3" t="str">
            <v>0421</v>
          </cell>
          <cell r="Y3" t="str">
            <v>0451</v>
          </cell>
          <cell r="Z3" t="str">
            <v>0451</v>
          </cell>
          <cell r="AA3" t="str">
            <v>0451</v>
          </cell>
          <cell r="AB3" t="str">
            <v>0474</v>
          </cell>
          <cell r="AC3" t="str">
            <v>0510</v>
          </cell>
          <cell r="AD3" t="str">
            <v>0630</v>
          </cell>
          <cell r="AE3" t="str">
            <v>0640</v>
          </cell>
          <cell r="AF3" t="str">
            <v>0660</v>
          </cell>
          <cell r="AG3" t="str">
            <v>0660</v>
          </cell>
          <cell r="AH3" t="str">
            <v>0722</v>
          </cell>
          <cell r="AI3" t="str">
            <v>0810</v>
          </cell>
          <cell r="AJ3" t="str">
            <v>0810</v>
          </cell>
          <cell r="AK3" t="str">
            <v>0840</v>
          </cell>
          <cell r="AL3" t="str">
            <v>1011</v>
          </cell>
          <cell r="AM3" t="str">
            <v>1011</v>
          </cell>
          <cell r="AN3" t="str">
            <v>1012</v>
          </cell>
          <cell r="AO3" t="str">
            <v>1020</v>
          </cell>
          <cell r="AP3" t="str">
            <v>1040</v>
          </cell>
          <cell r="AQ3" t="str">
            <v>1040</v>
          </cell>
          <cell r="AR3" t="str">
            <v>1040</v>
          </cell>
          <cell r="AS3" t="str">
            <v>1040</v>
          </cell>
          <cell r="AT3" t="str">
            <v>1040</v>
          </cell>
          <cell r="AU3" t="str">
            <v>1050</v>
          </cell>
          <cell r="AV3" t="str">
            <v>1060</v>
          </cell>
          <cell r="AW3" t="str">
            <v>1070</v>
          </cell>
          <cell r="AX3" t="str">
            <v>1070</v>
          </cell>
          <cell r="AY3" t="str">
            <v>9000</v>
          </cell>
          <cell r="AZ3" t="str">
            <v>-</v>
          </cell>
          <cell r="BA3" t="str">
            <v>0310</v>
          </cell>
          <cell r="BB3" t="str">
            <v>0610</v>
          </cell>
          <cell r="BC3" t="str">
            <v>0660</v>
          </cell>
          <cell r="BD3" t="str">
            <v>0810</v>
          </cell>
          <cell r="BE3" t="str">
            <v>0840</v>
          </cell>
          <cell r="BF3" t="str">
            <v>0942</v>
          </cell>
          <cell r="BG3" t="str">
            <v>1011</v>
          </cell>
          <cell r="BH3" t="str">
            <v>1012</v>
          </cell>
          <cell r="BI3" t="str">
            <v>1070</v>
          </cell>
          <cell r="BJ3" t="str">
            <v>1060</v>
          </cell>
          <cell r="BK3" t="str">
            <v>1060</v>
          </cell>
          <cell r="BL3" t="str">
            <v>-</v>
          </cell>
          <cell r="BM3" t="str">
            <v>-</v>
          </cell>
          <cell r="BN3" t="str">
            <v>0160</v>
          </cell>
          <cell r="BO3" t="str">
            <v>0160</v>
          </cell>
          <cell r="BP3" t="str">
            <v>0160</v>
          </cell>
          <cell r="BQ3" t="str">
            <v>0160</v>
          </cell>
          <cell r="BR3" t="str">
            <v>0111</v>
          </cell>
          <cell r="BS3" t="str">
            <v>0111</v>
          </cell>
          <cell r="BT3" t="str">
            <v>0111</v>
          </cell>
          <cell r="BU3" t="str">
            <v>0133</v>
          </cell>
          <cell r="BV3" t="str">
            <v>0610</v>
          </cell>
          <cell r="BW3" t="str">
            <v>f.n.s.</v>
          </cell>
          <cell r="BX3" t="str">
            <v>-</v>
          </cell>
        </row>
        <row r="4">
          <cell r="G4" t="str">
            <v>016030</v>
          </cell>
          <cell r="H4" t="str">
            <v>011130</v>
          </cell>
          <cell r="I4" t="str">
            <v>011140</v>
          </cell>
          <cell r="J4" t="str">
            <v>011220</v>
          </cell>
          <cell r="K4" t="str">
            <v>013320</v>
          </cell>
          <cell r="L4" t="str">
            <v>013350</v>
          </cell>
          <cell r="M4" t="str">
            <v>013350</v>
          </cell>
          <cell r="N4" t="str">
            <v>013360</v>
          </cell>
          <cell r="O4" t="str">
            <v>016020</v>
          </cell>
          <cell r="P4" t="str">
            <v>018010</v>
          </cell>
          <cell r="Q4" t="str">
            <v>018020</v>
          </cell>
          <cell r="R4" t="str">
            <v>022010</v>
          </cell>
          <cell r="S4" t="str">
            <v>041231</v>
          </cell>
          <cell r="T4" t="str">
            <v>041232</v>
          </cell>
          <cell r="U4" t="str">
            <v>041233</v>
          </cell>
          <cell r="V4" t="str">
            <v>041236</v>
          </cell>
          <cell r="W4" t="str">
            <v>041237</v>
          </cell>
          <cell r="X4" t="str">
            <v>042180</v>
          </cell>
          <cell r="Y4" t="str">
            <v>045120</v>
          </cell>
          <cell r="Z4" t="str">
            <v>045140</v>
          </cell>
          <cell r="AA4" t="str">
            <v>045160</v>
          </cell>
          <cell r="AB4" t="str">
            <v>047410</v>
          </cell>
          <cell r="AC4" t="str">
            <v>051030</v>
          </cell>
          <cell r="AD4" t="str">
            <v>063020</v>
          </cell>
          <cell r="AE4" t="str">
            <v>064010</v>
          </cell>
          <cell r="AF4" t="str">
            <v>066010</v>
          </cell>
          <cell r="AG4" t="str">
            <v>066020</v>
          </cell>
          <cell r="AH4" t="str">
            <v>072210</v>
          </cell>
          <cell r="AI4" t="str">
            <v>081030</v>
          </cell>
          <cell r="AJ4" t="str">
            <v>081041</v>
          </cell>
          <cell r="AK4" t="str">
            <v>086020</v>
          </cell>
          <cell r="AL4" t="str">
            <v>101150</v>
          </cell>
          <cell r="AM4" t="str">
            <v>101150</v>
          </cell>
          <cell r="AN4" t="str">
            <v>101231</v>
          </cell>
          <cell r="AO4" t="str">
            <v>102040</v>
          </cell>
          <cell r="AP4" t="str">
            <v>104051</v>
          </cell>
          <cell r="AQ4" t="str">
            <v>104051</v>
          </cell>
          <cell r="AR4" t="str">
            <v>104051</v>
          </cell>
          <cell r="AS4" t="str">
            <v>104051</v>
          </cell>
          <cell r="AT4" t="str">
            <v>104051</v>
          </cell>
          <cell r="AU4" t="str">
            <v>105010</v>
          </cell>
          <cell r="AV4" t="str">
            <v>106020</v>
          </cell>
          <cell r="AW4" t="str">
            <v>107060</v>
          </cell>
          <cell r="AX4" t="str">
            <v>107060</v>
          </cell>
          <cell r="AY4" t="str">
            <v>900060</v>
          </cell>
          <cell r="AZ4" t="str">
            <v>-</v>
          </cell>
          <cell r="BA4" t="str">
            <v>031010</v>
          </cell>
          <cell r="BB4" t="str">
            <v>061030</v>
          </cell>
          <cell r="BC4" t="str">
            <v>066020</v>
          </cell>
          <cell r="BD4" t="str">
            <v>081061</v>
          </cell>
          <cell r="BE4" t="str">
            <v>084032</v>
          </cell>
          <cell r="BF4" t="str">
            <v>094260</v>
          </cell>
          <cell r="BG4" t="str">
            <v>101150</v>
          </cell>
          <cell r="BH4" t="str">
            <v>101231</v>
          </cell>
          <cell r="BI4" t="str">
            <v>103010</v>
          </cell>
          <cell r="BJ4" t="str">
            <v>106020</v>
          </cell>
          <cell r="BK4" t="str">
            <v>106020</v>
          </cell>
          <cell r="BL4" t="str">
            <v>-</v>
          </cell>
          <cell r="BM4" t="str">
            <v>-</v>
          </cell>
          <cell r="BN4" t="str">
            <v>016010</v>
          </cell>
          <cell r="BO4" t="str">
            <v>016010</v>
          </cell>
          <cell r="BP4" t="str">
            <v>016010</v>
          </cell>
          <cell r="BQ4" t="str">
            <v>016010</v>
          </cell>
          <cell r="BR4" t="str">
            <v>011130</v>
          </cell>
          <cell r="BS4" t="str">
            <v>011130</v>
          </cell>
          <cell r="BT4" t="str">
            <v>011130</v>
          </cell>
          <cell r="BU4" t="str">
            <v>013360</v>
          </cell>
          <cell r="BV4" t="str">
            <v>061030</v>
          </cell>
          <cell r="BW4" t="str">
            <v>-</v>
          </cell>
          <cell r="BX4" t="str">
            <v>-</v>
          </cell>
        </row>
        <row r="5">
          <cell r="G5" t="str">
            <v>Területi általános végrehajtó igazgatási tevékenység</v>
          </cell>
          <cell r="H5" t="str">
            <v>Önkormányzatok és társulások általános végrehajtó igazgatási tevékenysége</v>
          </cell>
          <cell r="I5" t="str">
            <v>Helyi nemzetiségi önkormányzatok igazgatási tevékenysége</v>
          </cell>
          <cell r="J5" t="str">
            <v>Adó, illeték kiszabása, beszedése, adóellenőrzés</v>
          </cell>
          <cell r="K5" t="str">
            <v>Köztemető fenntartás és működtetés</v>
          </cell>
          <cell r="L5" t="str">
            <v>Lakóingatlan bérbeadása, üzemeltetése</v>
          </cell>
          <cell r="M5" t="str">
            <v>Nem lakóingatlan bérbeadása, üzemeltetése</v>
          </cell>
          <cell r="N5" t="str">
            <v>Építményüzemeltetés</v>
          </cell>
          <cell r="O5" t="str">
            <v>Országos és helyi népszavazáshoz kapcsolódó tevékenységek </v>
          </cell>
          <cell r="P5" t="str">
            <v>Önkormányzatok és társulások elszámolásai a központi költségvetéssel</v>
          </cell>
          <cell r="Q5" t="str">
            <v>Központi költségvetési befizetések </v>
          </cell>
          <cell r="R5" t="str">
            <v>A polgári védelem ágazati feladatai</v>
          </cell>
          <cell r="S5" t="str">
            <v>Rövid időtartamú közfoglalkoztatás</v>
          </cell>
          <cell r="T5" t="str">
            <v>Rövid időtartamú közfoglalkoztatás</v>
          </cell>
          <cell r="U5" t="str">
            <v>Foglalkoztatást helyettesítő támogatásra jogosultak hosszabb időtartamú közfoglalkoztatása</v>
          </cell>
          <cell r="V5" t="str">
            <v>Egyéb közfoglalkoztatás</v>
          </cell>
          <cell r="W5" t="str">
            <v>Egyéb közfoglalkoztatás</v>
          </cell>
          <cell r="X5" t="str">
            <v>Állategészségügyi ellátás</v>
          </cell>
          <cell r="Y5" t="str">
            <v>Út, autópálya építése</v>
          </cell>
          <cell r="Z5" t="str">
            <v>Városi és elővárosi közúti személyszállítás</v>
          </cell>
          <cell r="AA5" t="str">
            <v>Közutak, hidak, alagutak üzemeltetése, fenntartása</v>
          </cell>
          <cell r="AB5" t="str">
            <v>Ár- és belvízvédelemmel összefüggő tevékenységek</v>
          </cell>
          <cell r="AC5" t="str">
            <v>Települési hulladék vegyes (ömlesztett) 
begyűjtése, szállítása, átrakása</v>
          </cell>
          <cell r="AD5" t="str">
            <v>Víztermelés-, kezelés-, ellátás</v>
          </cell>
          <cell r="AE5" t="str">
            <v>Közvilágítás</v>
          </cell>
          <cell r="AF5" t="str">
            <v>Zöldterület-kezelés</v>
          </cell>
          <cell r="AG5" t="str">
            <v>Város-, községgazdálkodási m.n.s. szolgáltatások </v>
          </cell>
          <cell r="AH5" t="str">
            <v>Járóbetegek gyógyító szakellátása</v>
          </cell>
          <cell r="AI5" t="str">
            <v>Sportlétesítmények működtetése és fejlesztése </v>
          </cell>
          <cell r="AJ5" t="str">
            <v>Versenysport-tevékenység és támogatása </v>
          </cell>
          <cell r="AK5" t="str">
            <v>Helyi közösségi tér biztosítása, működtetése</v>
          </cell>
          <cell r="AL5" t="str">
            <v>Ápolási díj alanyi jogon</v>
          </cell>
          <cell r="AM5" t="str">
            <v>Közgyógyellátás </v>
          </cell>
          <cell r="AN5" t="str">
            <v>Ápolási díj alanyi jogon</v>
          </cell>
          <cell r="AO5" t="str">
            <v>Időskorúak járadéka </v>
          </cell>
          <cell r="AP5" t="str">
            <v>Rendszeres gyermekvédelmi pénzbeli ellátás </v>
          </cell>
          <cell r="AQ5" t="str">
            <v>Kiegészítő gyermekvédelmi támogatás </v>
          </cell>
          <cell r="AR5" t="str">
            <v>Óvodáztatási támogatás</v>
          </cell>
          <cell r="AS5" t="str">
            <v>Rendkívüli gyermekvédelmi támogatás</v>
          </cell>
          <cell r="AT5" t="str">
            <v>Otthonteremtési támogatás</v>
          </cell>
          <cell r="AU5" t="str">
            <v>Aktív korúak ellátása</v>
          </cell>
          <cell r="AV5" t="str">
            <v>Lakásfenntartási támogatás normatív alapon </v>
          </cell>
          <cell r="AW5" t="str">
            <v>Önkormányzati segély</v>
          </cell>
          <cell r="AX5" t="str">
            <v>Köztemetés</v>
          </cell>
          <cell r="AY5" t="str">
            <v>Finanszírozási műveletek</v>
          </cell>
          <cell r="AZ5" t="str">
            <v>Hátrányos helyzetű kistérségek speciális komplex felzárkóztató programjai</v>
          </cell>
          <cell r="BA5" t="str">
            <v>Közterület rendjének fenntartása </v>
          </cell>
          <cell r="BB5" t="str">
            <v>Önkormányzatok által nyújtott lakástámogatás </v>
          </cell>
          <cell r="BC5" t="str">
            <v>Mezőőri tevékenység</v>
          </cell>
          <cell r="BD5" t="str">
            <v>Szabadidős park, fürdő és strandszolgáltatás </v>
          </cell>
          <cell r="BE5" t="str">
            <v>Civil szervezetek program- és egyéb támogatása </v>
          </cell>
          <cell r="BF5" t="str">
            <v>Szociális ösztöndíjak</v>
          </cell>
          <cell r="BG5" t="str">
            <v>Ápolási díj méltányossági alapon </v>
          </cell>
          <cell r="BH5" t="str">
            <v>Ápolási díj méltányossági alapon </v>
          </cell>
          <cell r="BI5" t="str">
            <v>Temetési segély</v>
          </cell>
          <cell r="BJ5" t="str">
            <v>Helyi rendszeres lakásfenntartási támogatás </v>
          </cell>
          <cell r="BK5" t="str">
            <v>Helyi eseti lakásfenntartási támogatás </v>
          </cell>
          <cell r="BL5" t="str">
            <v>Önkormányzatok m.n.s. nemzetközi kapcsolatai </v>
          </cell>
          <cell r="BM5" t="str">
            <v>Egyéb önkormányzati  eseti pénzbeli ellátások</v>
          </cell>
          <cell r="BN5" t="str">
            <v>Országgyűlési képviselőválasztáshoz kapcsolódó tevékenységek</v>
          </cell>
          <cell r="BO5" t="str">
            <v>Önkormányzati képviselőválasztáshoz kapcsolódó tevékenységek </v>
          </cell>
          <cell r="BP5" t="str">
            <v>Országos és helyi nemzetiségi önkormányzati választásokhoz kapcsolódó tevékenységek</v>
          </cell>
          <cell r="BQ5" t="str">
            <v>Európai parlamenti képviselőválasztáshoz kapcsolódó tevékenységek </v>
          </cell>
          <cell r="BR5" t="str">
            <v>Önkormányzati jogalkotás</v>
          </cell>
          <cell r="BS5" t="str">
            <v>Önkormányzatok és társulások általános végrehajtó igazgatási tevékenysége</v>
          </cell>
          <cell r="BT5" t="str">
            <v>Önkormányzatok és társulások általános végrehajtó igazgatási tevékenysége (ÁROP Hivatal fejlesztés)</v>
          </cell>
          <cell r="BU5" t="str">
            <v>Építmény üzemeltetés</v>
          </cell>
          <cell r="BV5" t="str">
            <v>Munkáltatók által nyújtott lakástámogatás </v>
          </cell>
          <cell r="BW5" t="str">
            <v>Munkahelyi étkeztetés</v>
          </cell>
          <cell r="BX5" t="str">
            <v>Hevesi Polgármesteri Hivatal állami (államigazgatási) feladatai</v>
          </cell>
          <cell r="BY5" t="str">
            <v>Összsen</v>
          </cell>
        </row>
        <row r="6">
          <cell r="G6" t="str">
            <v>841124-1</v>
          </cell>
          <cell r="H6" t="str">
            <v>841126-1</v>
          </cell>
          <cell r="I6" t="str">
            <v>841127-5</v>
          </cell>
          <cell r="J6" t="str">
            <v>841133-1</v>
          </cell>
          <cell r="K6" t="str">
            <v>960302-1</v>
          </cell>
          <cell r="L6" t="str">
            <v>680001-1</v>
          </cell>
          <cell r="M6" t="str">
            <v>682002-1</v>
          </cell>
          <cell r="N6" t="str">
            <v>811000-1</v>
          </cell>
          <cell r="O6" t="str">
            <v>841118-1</v>
          </cell>
          <cell r="P6" t="str">
            <v>841901-9</v>
          </cell>
          <cell r="Q6" t="str">
            <v>841902-9</v>
          </cell>
          <cell r="R6" t="str">
            <v>842531-1</v>
          </cell>
          <cell r="S6" t="str">
            <v>890441-1</v>
          </cell>
          <cell r="T6" t="str">
            <v>890441-1</v>
          </cell>
          <cell r="U6" t="str">
            <v>890442-1 </v>
          </cell>
          <cell r="V6" t="str">
            <v>890443-1</v>
          </cell>
          <cell r="W6" t="str">
            <v>890443-1</v>
          </cell>
          <cell r="X6" t="str">
            <v>750000-1</v>
          </cell>
          <cell r="Y6" t="str">
            <v>421100-1</v>
          </cell>
          <cell r="Z6" t="str">
            <v>493102-1</v>
          </cell>
          <cell r="AA6" t="str">
            <v>522001-1</v>
          </cell>
          <cell r="AB6" t="str">
            <v> 842541-1 </v>
          </cell>
          <cell r="AC6" t="str">
            <v>381103-1</v>
          </cell>
          <cell r="AD6" t="str">
            <v>360000-1</v>
          </cell>
          <cell r="AE6" t="str">
            <v>841402-1</v>
          </cell>
          <cell r="AF6" t="str">
            <v>813000-1</v>
          </cell>
          <cell r="AG6" t="str">
            <v>841403-1</v>
          </cell>
          <cell r="AH6" t="str">
            <v>862211-1</v>
          </cell>
          <cell r="AI6" t="str">
            <v>931102-1</v>
          </cell>
          <cell r="AJ6" t="str">
            <v>931201-1</v>
          </cell>
          <cell r="AK6" t="str">
            <v>890505-1</v>
          </cell>
          <cell r="AL6" t="str">
            <v>882115-1</v>
          </cell>
          <cell r="AM6" t="str">
            <v>882202-1</v>
          </cell>
          <cell r="AN6" t="str">
            <v>882115-1</v>
          </cell>
          <cell r="AO6" t="str">
            <v>882112-1</v>
          </cell>
          <cell r="AP6" t="str">
            <v>882117-1</v>
          </cell>
          <cell r="AQ6" t="str">
            <v>882118-1</v>
          </cell>
          <cell r="AR6" t="str">
            <v>882119-1</v>
          </cell>
          <cell r="AS6" t="str">
            <v>882124-1</v>
          </cell>
          <cell r="AT6" t="str">
            <v>889935-1</v>
          </cell>
          <cell r="AU6" t="str">
            <v>882111-1</v>
          </cell>
          <cell r="AV6" t="str">
            <v>882113-1 </v>
          </cell>
          <cell r="AW6" t="str">
            <v>882122-1</v>
          </cell>
          <cell r="AX6" t="str">
            <v>882203-1</v>
          </cell>
          <cell r="AY6" t="str">
            <v>841906-9</v>
          </cell>
          <cell r="AZ6" t="str">
            <v>890411-1</v>
          </cell>
          <cell r="BA6" t="str">
            <v>842421-1</v>
          </cell>
          <cell r="BB6" t="str">
            <v>889942-1</v>
          </cell>
          <cell r="BC6" t="str">
            <v>841403-1</v>
          </cell>
          <cell r="BD6" t="str">
            <v>932911-1</v>
          </cell>
          <cell r="BE6" t="str">
            <v>890302-1</v>
          </cell>
          <cell r="BF6" t="str">
            <v>854314-1</v>
          </cell>
          <cell r="BG6" t="str">
            <v>882116-1</v>
          </cell>
          <cell r="BH6" t="str">
            <v>882116-1</v>
          </cell>
          <cell r="BI6" t="str">
            <v>882123-1</v>
          </cell>
          <cell r="BJ6" t="str">
            <v>882114-1</v>
          </cell>
          <cell r="BK6" t="str">
            <v>882121-1</v>
          </cell>
          <cell r="BL6" t="str">
            <v>842160-1</v>
          </cell>
          <cell r="BM6" t="str">
            <v>882129-1</v>
          </cell>
          <cell r="BN6" t="str">
            <v>841114-1</v>
          </cell>
          <cell r="BO6" t="str">
            <v>841115-1</v>
          </cell>
          <cell r="BP6" t="str">
            <v>841116-1</v>
          </cell>
          <cell r="BQ6" t="str">
            <v>841117-1</v>
          </cell>
          <cell r="BR6" t="str">
            <v>841112-1</v>
          </cell>
          <cell r="BS6" t="str">
            <v>841126-1</v>
          </cell>
          <cell r="BT6" t="str">
            <v>841126-1</v>
          </cell>
          <cell r="BU6" t="str">
            <v>811000-1</v>
          </cell>
          <cell r="BV6" t="str">
            <v>889943-1</v>
          </cell>
          <cell r="BW6" t="str">
            <v>562917-1</v>
          </cell>
          <cell r="BX6" t="str">
            <v>-</v>
          </cell>
          <cell r="BY6" t="str">
            <v>999999-9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K35"/>
  <sheetViews>
    <sheetView zoomScalePageLayoutView="0" workbookViewId="0" topLeftCell="A1">
      <selection activeCell="A1" sqref="A1:C1"/>
    </sheetView>
  </sheetViews>
  <sheetFormatPr defaultColWidth="79.00390625" defaultRowHeight="12.75"/>
  <cols>
    <col min="1" max="1" width="2.375" style="1012" bestFit="1" customWidth="1"/>
    <col min="2" max="2" width="23.25390625" style="1013" customWidth="1"/>
    <col min="3" max="3" width="89.75390625" style="1013" customWidth="1"/>
    <col min="4" max="16384" width="79.00390625" style="1012" customWidth="1"/>
  </cols>
  <sheetData>
    <row r="1" spans="1:11" s="1003" customFormat="1" ht="18.75">
      <c r="A1" s="1247" t="s">
        <v>1249</v>
      </c>
      <c r="B1" s="1247"/>
      <c r="C1" s="1247"/>
      <c r="D1" s="1002"/>
      <c r="E1" s="1002"/>
      <c r="F1" s="1002"/>
      <c r="G1" s="1002"/>
      <c r="H1" s="1002"/>
      <c r="I1" s="1002"/>
      <c r="J1" s="1002"/>
      <c r="K1" s="1002"/>
    </row>
    <row r="2" spans="2:3" s="1003" customFormat="1" ht="12.75">
      <c r="B2" s="1004"/>
      <c r="C2" s="1004"/>
    </row>
    <row r="3" spans="1:11" s="1003" customFormat="1" ht="12.75">
      <c r="A3" s="1248" t="s">
        <v>1262</v>
      </c>
      <c r="B3" s="1248"/>
      <c r="C3" s="1248"/>
      <c r="D3" s="1002"/>
      <c r="E3" s="1002"/>
      <c r="F3" s="1002"/>
      <c r="G3" s="1002"/>
      <c r="H3" s="1002"/>
      <c r="I3" s="1002"/>
      <c r="J3" s="1002"/>
      <c r="K3" s="1002"/>
    </row>
    <row r="4" spans="2:3" s="1003" customFormat="1" ht="12.75">
      <c r="B4" s="1004"/>
      <c r="C4" s="1004"/>
    </row>
    <row r="5" spans="2:3" s="1003" customFormat="1" ht="12.75">
      <c r="B5" s="1004"/>
      <c r="C5" s="1004"/>
    </row>
    <row r="6" spans="1:3" s="1003" customFormat="1" ht="12.75">
      <c r="A6" s="1005" t="s">
        <v>4</v>
      </c>
      <c r="B6" s="1249" t="s">
        <v>1294</v>
      </c>
      <c r="C6" s="1249"/>
    </row>
    <row r="7" spans="2:3" s="1005" customFormat="1" ht="38.25">
      <c r="B7" s="1006" t="s">
        <v>1250</v>
      </c>
      <c r="C7" s="1007"/>
    </row>
    <row r="8" spans="2:11" s="1003" customFormat="1" ht="12.75">
      <c r="B8" s="1008" t="s">
        <v>75</v>
      </c>
      <c r="C8" s="1008" t="s">
        <v>1263</v>
      </c>
      <c r="F8" s="1009"/>
      <c r="G8" s="1009"/>
      <c r="H8" s="1009"/>
      <c r="I8" s="1009"/>
      <c r="J8" s="1009"/>
      <c r="K8" s="1009"/>
    </row>
    <row r="9" spans="2:11" s="1003" customFormat="1" ht="12.75">
      <c r="B9" s="1008" t="s">
        <v>410</v>
      </c>
      <c r="C9" s="1008" t="s">
        <v>1264</v>
      </c>
      <c r="F9" s="1009"/>
      <c r="G9" s="1009"/>
      <c r="H9" s="1009"/>
      <c r="I9" s="1009"/>
      <c r="J9" s="1009"/>
      <c r="K9" s="1009"/>
    </row>
    <row r="10" spans="2:11" s="1003" customFormat="1" ht="12.75">
      <c r="B10" s="1008" t="s">
        <v>414</v>
      </c>
      <c r="C10" s="1008" t="s">
        <v>1292</v>
      </c>
      <c r="F10" s="1009"/>
      <c r="G10" s="1009"/>
      <c r="H10" s="1009"/>
      <c r="I10" s="1009"/>
      <c r="J10" s="1009"/>
      <c r="K10" s="1009"/>
    </row>
    <row r="11" spans="2:11" s="1003" customFormat="1" ht="12.75">
      <c r="B11" s="1008" t="s">
        <v>415</v>
      </c>
      <c r="C11" s="1008" t="s">
        <v>1265</v>
      </c>
      <c r="F11" s="1009"/>
      <c r="G11" s="1009"/>
      <c r="H11" s="1009"/>
      <c r="I11" s="1009"/>
      <c r="J11" s="1009"/>
      <c r="K11" s="1009"/>
    </row>
    <row r="12" spans="2:11" s="1003" customFormat="1" ht="12.75">
      <c r="B12" s="1008" t="s">
        <v>417</v>
      </c>
      <c r="C12" s="1008" t="s">
        <v>1293</v>
      </c>
      <c r="F12" s="1009"/>
      <c r="G12" s="1009"/>
      <c r="H12" s="1009"/>
      <c r="I12" s="1009"/>
      <c r="J12" s="1009"/>
      <c r="K12" s="1009"/>
    </row>
    <row r="13" spans="2:11" s="1003" customFormat="1" ht="12.75">
      <c r="B13" s="1008" t="s">
        <v>454</v>
      </c>
      <c r="C13" s="1008" t="s">
        <v>1251</v>
      </c>
      <c r="F13" s="1009"/>
      <c r="G13" s="1009"/>
      <c r="H13" s="1009"/>
      <c r="I13" s="1009"/>
      <c r="J13" s="1009"/>
      <c r="K13" s="1009"/>
    </row>
    <row r="14" spans="2:11" s="1003" customFormat="1" ht="12.75">
      <c r="B14" s="1008" t="s">
        <v>457</v>
      </c>
      <c r="C14" s="1008" t="s">
        <v>1252</v>
      </c>
      <c r="F14" s="1009"/>
      <c r="G14" s="1009"/>
      <c r="H14" s="1009"/>
      <c r="I14" s="1009"/>
      <c r="J14" s="1009"/>
      <c r="K14" s="1009"/>
    </row>
    <row r="15" spans="2:11" s="1003" customFormat="1" ht="12.75">
      <c r="B15" s="1008" t="s">
        <v>496</v>
      </c>
      <c r="C15" s="1010" t="s">
        <v>1266</v>
      </c>
      <c r="F15" s="1009"/>
      <c r="G15" s="1009"/>
      <c r="H15" s="1009"/>
      <c r="I15" s="1009"/>
      <c r="J15" s="1009"/>
      <c r="K15" s="1009"/>
    </row>
    <row r="16" spans="2:11" s="1003" customFormat="1" ht="12.75">
      <c r="B16" s="1008" t="s">
        <v>526</v>
      </c>
      <c r="C16" s="1010" t="s">
        <v>1253</v>
      </c>
      <c r="F16" s="1009"/>
      <c r="G16" s="1009"/>
      <c r="H16" s="1009"/>
      <c r="I16" s="1009"/>
      <c r="J16" s="1009"/>
      <c r="K16" s="1009"/>
    </row>
    <row r="17" spans="2:6" s="1003" customFormat="1" ht="25.5">
      <c r="B17" s="1008" t="s">
        <v>541</v>
      </c>
      <c r="C17" s="1008" t="s">
        <v>1254</v>
      </c>
      <c r="F17" s="1009"/>
    </row>
    <row r="18" spans="2:6" s="1003" customFormat="1" ht="25.5">
      <c r="B18" s="1006" t="s">
        <v>1255</v>
      </c>
      <c r="C18" s="1008"/>
      <c r="F18" s="1009"/>
    </row>
    <row r="19" spans="2:3" s="1003" customFormat="1" ht="12.75">
      <c r="B19" s="1008" t="s">
        <v>613</v>
      </c>
      <c r="C19" s="1008" t="s">
        <v>575</v>
      </c>
    </row>
    <row r="20" spans="2:11" s="1003" customFormat="1" ht="12.75">
      <c r="B20" s="1010" t="s">
        <v>614</v>
      </c>
      <c r="C20" s="1010" t="s">
        <v>633</v>
      </c>
      <c r="F20" s="1009"/>
      <c r="G20" s="1009"/>
      <c r="H20" s="1009"/>
      <c r="I20" s="1009"/>
      <c r="J20" s="1009"/>
      <c r="K20" s="1009"/>
    </row>
    <row r="21" spans="2:11" s="1003" customFormat="1" ht="12.75">
      <c r="B21" s="1008" t="s">
        <v>1256</v>
      </c>
      <c r="C21" s="1008" t="s">
        <v>654</v>
      </c>
      <c r="F21" s="1009"/>
      <c r="G21" s="1009"/>
      <c r="H21" s="1009"/>
      <c r="I21" s="1009"/>
      <c r="J21" s="1009"/>
      <c r="K21" s="1009"/>
    </row>
    <row r="22" spans="2:11" s="1003" customFormat="1" ht="12.75">
      <c r="B22" s="1005" t="s">
        <v>1257</v>
      </c>
      <c r="E22" s="1009"/>
      <c r="F22" s="1011"/>
      <c r="G22" s="1011"/>
      <c r="H22" s="1011"/>
      <c r="I22" s="1011"/>
      <c r="J22" s="1011"/>
      <c r="K22" s="1011"/>
    </row>
    <row r="23" spans="2:11" s="1003" customFormat="1" ht="25.5">
      <c r="B23" s="1010" t="s">
        <v>506</v>
      </c>
      <c r="C23" s="1008" t="s">
        <v>1267</v>
      </c>
      <c r="E23" s="1009"/>
      <c r="F23" s="1011"/>
      <c r="G23" s="1011"/>
      <c r="H23" s="1011"/>
      <c r="I23" s="1011"/>
      <c r="J23" s="1011"/>
      <c r="K23" s="1011"/>
    </row>
    <row r="24" spans="2:11" s="1003" customFormat="1" ht="25.5">
      <c r="B24" s="1010" t="s">
        <v>574</v>
      </c>
      <c r="C24" s="1004" t="s">
        <v>1268</v>
      </c>
      <c r="E24" s="1009"/>
      <c r="F24" s="1011"/>
      <c r="G24" s="1011"/>
      <c r="H24" s="1011"/>
      <c r="I24" s="1011"/>
      <c r="J24" s="1011"/>
      <c r="K24" s="1011"/>
    </row>
    <row r="25" spans="2:11" s="1003" customFormat="1" ht="12.75">
      <c r="B25" s="1010" t="s">
        <v>636</v>
      </c>
      <c r="C25" s="1003" t="s">
        <v>1269</v>
      </c>
      <c r="E25" s="1009"/>
      <c r="F25" s="1011"/>
      <c r="G25" s="1011"/>
      <c r="H25" s="1011"/>
      <c r="I25" s="1011"/>
      <c r="J25" s="1011"/>
      <c r="K25" s="1011"/>
    </row>
    <row r="26" spans="2:3" ht="12.75">
      <c r="B26" s="1010" t="s">
        <v>1095</v>
      </c>
      <c r="C26" s="1012" t="s">
        <v>1270</v>
      </c>
    </row>
    <row r="27" spans="2:3" ht="12.75">
      <c r="B27" s="1010" t="s">
        <v>1039</v>
      </c>
      <c r="C27" s="1012" t="s">
        <v>1258</v>
      </c>
    </row>
    <row r="28" spans="2:3" ht="12.75">
      <c r="B28" s="1010" t="s">
        <v>777</v>
      </c>
      <c r="C28" s="1012" t="s">
        <v>1259</v>
      </c>
    </row>
    <row r="29" spans="2:3" ht="12.75">
      <c r="B29" s="1010" t="s">
        <v>1103</v>
      </c>
      <c r="C29" s="1013" t="s">
        <v>1104</v>
      </c>
    </row>
    <row r="30" spans="2:3" ht="12.75">
      <c r="B30" s="1010" t="s">
        <v>1260</v>
      </c>
      <c r="C30" s="1012" t="s">
        <v>1271</v>
      </c>
    </row>
    <row r="31" spans="2:3" ht="12.75">
      <c r="B31" s="1014" t="s">
        <v>1261</v>
      </c>
      <c r="C31" s="1012"/>
    </row>
    <row r="32" spans="2:3" ht="12.75">
      <c r="B32" s="1013" t="s">
        <v>1132</v>
      </c>
      <c r="C32" s="1013" t="s">
        <v>1272</v>
      </c>
    </row>
    <row r="33" spans="2:3" ht="25.5">
      <c r="B33" s="1013" t="s">
        <v>1135</v>
      </c>
      <c r="C33" s="1008" t="s">
        <v>1195</v>
      </c>
    </row>
    <row r="34" ht="12.75">
      <c r="C34" s="1010"/>
    </row>
    <row r="35" ht="12.75">
      <c r="C35" s="1012"/>
    </row>
  </sheetData>
  <sheetProtection/>
  <mergeCells count="3">
    <mergeCell ref="A1:C1"/>
    <mergeCell ref="A3:C3"/>
    <mergeCell ref="B6:C6"/>
  </mergeCells>
  <printOptions/>
  <pageMargins left="0.5511811023622047" right="0.31496062992125984" top="0.4330708661417323" bottom="0.984251968503937" header="0.2362204724409449" footer="0.5118110236220472"/>
  <pageSetup fitToHeight="0" fitToWidth="1" horizontalDpi="600" verticalDpi="600" orientation="portrait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50"/>
  <sheetViews>
    <sheetView zoomScalePageLayoutView="0" workbookViewId="0" topLeftCell="A1">
      <selection activeCell="F1" sqref="F1"/>
    </sheetView>
  </sheetViews>
  <sheetFormatPr defaultColWidth="9.00390625" defaultRowHeight="12.75"/>
  <cols>
    <col min="1" max="1" width="65.75390625" style="603" bestFit="1" customWidth="1"/>
    <col min="2" max="2" width="11.75390625" style="603" customWidth="1"/>
    <col min="3" max="3" width="11.125" style="603" bestFit="1" customWidth="1"/>
    <col min="4" max="4" width="12.875" style="603" customWidth="1"/>
    <col min="5" max="5" width="13.125" style="603" customWidth="1"/>
    <col min="6" max="7" width="9.125" style="603" customWidth="1"/>
    <col min="8" max="8" width="0" style="603" hidden="1" customWidth="1"/>
    <col min="9" max="9" width="0" style="1057" hidden="1" customWidth="1"/>
    <col min="10" max="10" width="0" style="603" hidden="1" customWidth="1"/>
    <col min="11" max="16384" width="9.125" style="603" customWidth="1"/>
  </cols>
  <sheetData>
    <row r="1" spans="1:9" s="930" customFormat="1" ht="15.75">
      <c r="A1" s="929"/>
      <c r="B1" s="929"/>
      <c r="C1" s="929"/>
      <c r="D1" s="929"/>
      <c r="E1" s="929"/>
      <c r="F1" s="1052" t="s">
        <v>1407</v>
      </c>
      <c r="I1" s="1053"/>
    </row>
    <row r="2" s="930" customFormat="1" ht="15.75">
      <c r="I2" s="1053"/>
    </row>
    <row r="3" spans="1:9" s="1054" customFormat="1" ht="15.75">
      <c r="A3" s="1312" t="s">
        <v>382</v>
      </c>
      <c r="B3" s="1312"/>
      <c r="C3" s="1312"/>
      <c r="D3" s="1312"/>
      <c r="E3" s="1312"/>
      <c r="F3" s="1312"/>
      <c r="I3" s="1055"/>
    </row>
    <row r="4" spans="1:9" s="1054" customFormat="1" ht="15.75">
      <c r="A4" s="1312" t="s">
        <v>497</v>
      </c>
      <c r="B4" s="1312"/>
      <c r="C4" s="1312"/>
      <c r="D4" s="1312"/>
      <c r="E4" s="1312"/>
      <c r="F4" s="1312"/>
      <c r="I4" s="1055"/>
    </row>
    <row r="5" spans="1:6" ht="12.75" thickBot="1">
      <c r="A5" s="1056"/>
      <c r="B5" s="1056"/>
      <c r="C5" s="1056"/>
      <c r="D5" s="1056"/>
      <c r="E5" s="1056"/>
      <c r="F5" s="1056"/>
    </row>
    <row r="6" spans="1:9" s="1058" customFormat="1" ht="12.75" customHeight="1" thickBot="1">
      <c r="A6" s="1313" t="s">
        <v>7</v>
      </c>
      <c r="B6" s="1318" t="s">
        <v>498</v>
      </c>
      <c r="C6" s="1315" t="s">
        <v>498</v>
      </c>
      <c r="D6" s="1316"/>
      <c r="E6" s="1316"/>
      <c r="F6" s="1317"/>
      <c r="I6" s="1059"/>
    </row>
    <row r="7" spans="1:9" s="1058" customFormat="1" ht="48.75" thickBot="1">
      <c r="A7" s="1314"/>
      <c r="B7" s="1319"/>
      <c r="C7" s="1060" t="s">
        <v>479</v>
      </c>
      <c r="D7" s="221" t="s">
        <v>480</v>
      </c>
      <c r="E7" s="1061" t="s">
        <v>481</v>
      </c>
      <c r="F7" s="1062" t="s">
        <v>18</v>
      </c>
      <c r="I7" s="1059"/>
    </row>
    <row r="8" spans="1:6" ht="12">
      <c r="A8" s="1063"/>
      <c r="B8" s="1064"/>
      <c r="C8" s="1064"/>
      <c r="D8" s="210"/>
      <c r="E8" s="210"/>
      <c r="F8" s="1065"/>
    </row>
    <row r="9" spans="1:8" ht="12">
      <c r="A9" s="1066" t="s">
        <v>482</v>
      </c>
      <c r="B9" s="1067">
        <f>+B10</f>
        <v>0</v>
      </c>
      <c r="C9" s="1067">
        <f>+C10</f>
        <v>0</v>
      </c>
      <c r="D9" s="1068">
        <f>+D10</f>
        <v>0</v>
      </c>
      <c r="E9" s="1068">
        <f>+E10</f>
        <v>0</v>
      </c>
      <c r="F9" s="1069">
        <f>+F10</f>
        <v>0</v>
      </c>
      <c r="H9" s="1070">
        <f>+F9-B9</f>
        <v>0</v>
      </c>
    </row>
    <row r="10" spans="1:8" ht="12">
      <c r="A10" s="1071" t="s">
        <v>1007</v>
      </c>
      <c r="B10" s="1072">
        <v>0</v>
      </c>
      <c r="C10" s="1072"/>
      <c r="D10" s="1073"/>
      <c r="E10" s="1073">
        <v>0</v>
      </c>
      <c r="F10" s="1069">
        <f>+E10+D10+C10</f>
        <v>0</v>
      </c>
      <c r="H10" s="1070">
        <f aca="true" t="shared" si="0" ref="H10:H50">+F10-B10</f>
        <v>0</v>
      </c>
    </row>
    <row r="11" spans="1:8" ht="12">
      <c r="A11" s="1066" t="s">
        <v>483</v>
      </c>
      <c r="B11" s="1067">
        <f>+B12</f>
        <v>3</v>
      </c>
      <c r="C11" s="1067">
        <f>+C12</f>
        <v>0</v>
      </c>
      <c r="D11" s="1068">
        <f>+D12</f>
        <v>3</v>
      </c>
      <c r="E11" s="1068">
        <f>+E12</f>
        <v>0</v>
      </c>
      <c r="F11" s="1069">
        <f>+F12</f>
        <v>3</v>
      </c>
      <c r="H11" s="1070">
        <f t="shared" si="0"/>
        <v>0</v>
      </c>
    </row>
    <row r="12" spans="1:8" ht="12">
      <c r="A12" s="1074" t="s">
        <v>1058</v>
      </c>
      <c r="B12" s="1075">
        <v>3</v>
      </c>
      <c r="C12" s="1075"/>
      <c r="D12" s="1076">
        <v>3</v>
      </c>
      <c r="E12" s="1076"/>
      <c r="F12" s="1069">
        <f>+E12+D12+C12</f>
        <v>3</v>
      </c>
      <c r="H12" s="1070">
        <f t="shared" si="0"/>
        <v>0</v>
      </c>
    </row>
    <row r="13" spans="1:8" ht="12">
      <c r="A13" s="1066" t="s">
        <v>484</v>
      </c>
      <c r="B13" s="1067">
        <f>+B14</f>
        <v>0</v>
      </c>
      <c r="C13" s="1067">
        <f>+C14</f>
        <v>0</v>
      </c>
      <c r="D13" s="1068">
        <f>+D14</f>
        <v>0</v>
      </c>
      <c r="E13" s="1068">
        <f>+E14</f>
        <v>0</v>
      </c>
      <c r="F13" s="1069">
        <f>+F14</f>
        <v>0</v>
      </c>
      <c r="H13" s="1070">
        <f t="shared" si="0"/>
        <v>0</v>
      </c>
    </row>
    <row r="14" spans="1:8" ht="12.75" thickBot="1">
      <c r="A14" s="1077" t="s">
        <v>38</v>
      </c>
      <c r="B14" s="1078"/>
      <c r="C14" s="1078"/>
      <c r="D14" s="1079"/>
      <c r="E14" s="1079"/>
      <c r="F14" s="1069">
        <f>+E14+D14+C14</f>
        <v>0</v>
      </c>
      <c r="H14" s="1070">
        <f t="shared" si="0"/>
        <v>0</v>
      </c>
    </row>
    <row r="15" spans="1:10" ht="12.75" thickBot="1">
      <c r="A15" s="215" t="s">
        <v>485</v>
      </c>
      <c r="B15" s="1080">
        <f>+B9+B11+B13</f>
        <v>3</v>
      </c>
      <c r="C15" s="1080">
        <f>+C9+C11+C13</f>
        <v>0</v>
      </c>
      <c r="D15" s="1081">
        <f>+D9+D11+D13</f>
        <v>3</v>
      </c>
      <c r="E15" s="1082">
        <f>+E9+E11+E13</f>
        <v>0</v>
      </c>
      <c r="F15" s="1083">
        <f>+F9+F11+F13</f>
        <v>3</v>
      </c>
      <c r="H15" s="1070">
        <f t="shared" si="0"/>
        <v>0</v>
      </c>
      <c r="I15" s="1057">
        <f>+'1.1.mell._ÖNK_Mérleg2014'!C224</f>
        <v>3</v>
      </c>
      <c r="J15" s="1070">
        <f>+B15-I15</f>
        <v>0</v>
      </c>
    </row>
    <row r="16" spans="1:8" ht="12">
      <c r="A16" s="1084"/>
      <c r="B16" s="1085"/>
      <c r="C16" s="1085"/>
      <c r="D16" s="213"/>
      <c r="E16" s="213"/>
      <c r="F16" s="1086"/>
      <c r="H16" s="1070"/>
    </row>
    <row r="17" spans="1:8" ht="12">
      <c r="A17" s="1066" t="s">
        <v>502</v>
      </c>
      <c r="B17" s="1067">
        <f>+B18+B19+B20</f>
        <v>31.5</v>
      </c>
      <c r="C17" s="1067">
        <f>+C18+C19+C20</f>
        <v>31.5</v>
      </c>
      <c r="D17" s="1068">
        <f>+D18+D19+D20</f>
        <v>0</v>
      </c>
      <c r="E17" s="1068">
        <f>+E18+E19+E20</f>
        <v>0</v>
      </c>
      <c r="F17" s="1069">
        <f>+F18+F19+F20</f>
        <v>31.5</v>
      </c>
      <c r="H17" s="1070">
        <f t="shared" si="0"/>
        <v>0</v>
      </c>
    </row>
    <row r="18" spans="1:8" ht="12">
      <c r="A18" s="1071" t="s">
        <v>486</v>
      </c>
      <c r="B18" s="1072">
        <v>1</v>
      </c>
      <c r="C18" s="1072">
        <v>1</v>
      </c>
      <c r="D18" s="1073"/>
      <c r="E18" s="1073"/>
      <c r="F18" s="1069">
        <f>+E18+D18+C18</f>
        <v>1</v>
      </c>
      <c r="H18" s="1070">
        <f t="shared" si="0"/>
        <v>0</v>
      </c>
    </row>
    <row r="19" spans="1:8" ht="12">
      <c r="A19" s="1074" t="s">
        <v>932</v>
      </c>
      <c r="B19" s="1075">
        <v>30.5</v>
      </c>
      <c r="C19" s="1075">
        <v>30.5</v>
      </c>
      <c r="D19" s="1076"/>
      <c r="E19" s="1076"/>
      <c r="F19" s="1069">
        <f>+E19+D19+C19</f>
        <v>30.5</v>
      </c>
      <c r="H19" s="1070">
        <f t="shared" si="0"/>
        <v>0</v>
      </c>
    </row>
    <row r="20" spans="1:8" ht="12">
      <c r="A20" s="1074" t="s">
        <v>487</v>
      </c>
      <c r="B20" s="1075">
        <v>0</v>
      </c>
      <c r="C20" s="1075"/>
      <c r="D20" s="1076"/>
      <c r="E20" s="1076">
        <v>0</v>
      </c>
      <c r="F20" s="1069">
        <f>+E20+D20+C20</f>
        <v>0</v>
      </c>
      <c r="H20" s="1070">
        <f t="shared" si="0"/>
        <v>0</v>
      </c>
    </row>
    <row r="21" spans="1:8" ht="12">
      <c r="A21" s="1066" t="s">
        <v>503</v>
      </c>
      <c r="B21" s="1067">
        <f>+B22</f>
        <v>0</v>
      </c>
      <c r="C21" s="1067">
        <f>+C22</f>
        <v>0</v>
      </c>
      <c r="D21" s="1068">
        <f>+D22</f>
        <v>0</v>
      </c>
      <c r="E21" s="1068">
        <f>+E22</f>
        <v>0</v>
      </c>
      <c r="F21" s="1069">
        <f>+F22</f>
        <v>0</v>
      </c>
      <c r="H21" s="1070">
        <f t="shared" si="0"/>
        <v>0</v>
      </c>
    </row>
    <row r="22" spans="1:8" ht="12">
      <c r="A22" s="1074" t="s">
        <v>488</v>
      </c>
      <c r="B22" s="1075">
        <v>0</v>
      </c>
      <c r="C22" s="1075"/>
      <c r="D22" s="1076"/>
      <c r="E22" s="1076">
        <v>0</v>
      </c>
      <c r="F22" s="1069">
        <f>+E22+D22+C22</f>
        <v>0</v>
      </c>
      <c r="H22" s="1070">
        <f t="shared" si="0"/>
        <v>0</v>
      </c>
    </row>
    <row r="23" spans="1:8" ht="12">
      <c r="A23" s="1066" t="s">
        <v>504</v>
      </c>
      <c r="B23" s="1067">
        <f>+B24</f>
        <v>0</v>
      </c>
      <c r="C23" s="1067">
        <f>+C24</f>
        <v>0</v>
      </c>
      <c r="D23" s="1068">
        <f>+D24</f>
        <v>0</v>
      </c>
      <c r="E23" s="1068">
        <f>+E24</f>
        <v>0</v>
      </c>
      <c r="F23" s="1069">
        <f>+F24</f>
        <v>0</v>
      </c>
      <c r="H23" s="1070">
        <f t="shared" si="0"/>
        <v>0</v>
      </c>
    </row>
    <row r="24" spans="1:8" ht="12.75" thickBot="1">
      <c r="A24" s="1077" t="s">
        <v>38</v>
      </c>
      <c r="B24" s="1078"/>
      <c r="C24" s="1078"/>
      <c r="D24" s="1079"/>
      <c r="E24" s="1079"/>
      <c r="F24" s="1069">
        <f>+E24+D24+C24</f>
        <v>0</v>
      </c>
      <c r="H24" s="1070">
        <f t="shared" si="0"/>
        <v>0</v>
      </c>
    </row>
    <row r="25" spans="1:10" ht="12.75" thickBot="1">
      <c r="A25" s="215" t="s">
        <v>505</v>
      </c>
      <c r="B25" s="1080">
        <f>+B17+B21+B23</f>
        <v>31.5</v>
      </c>
      <c r="C25" s="1080">
        <f>+C17+C21+C23</f>
        <v>31.5</v>
      </c>
      <c r="D25" s="1081">
        <f>+D17+D21+D23</f>
        <v>0</v>
      </c>
      <c r="E25" s="1082">
        <f>+E17+E21+E23</f>
        <v>0</v>
      </c>
      <c r="F25" s="1083">
        <f>+F17+F21+F23</f>
        <v>31.5</v>
      </c>
      <c r="H25" s="1070">
        <f t="shared" si="0"/>
        <v>0</v>
      </c>
      <c r="I25" s="1057">
        <f>+'1.2.mell._PH_Mérleg2014'!C224</f>
        <v>31.5</v>
      </c>
      <c r="J25" s="1070">
        <f>+B25-I25</f>
        <v>0</v>
      </c>
    </row>
    <row r="26" spans="1:8" ht="12">
      <c r="A26" s="1084"/>
      <c r="B26" s="1085"/>
      <c r="C26" s="1085"/>
      <c r="D26" s="213"/>
      <c r="E26" s="213"/>
      <c r="F26" s="1086"/>
      <c r="H26" s="1070"/>
    </row>
    <row r="27" spans="1:8" ht="12">
      <c r="A27" s="1087" t="s">
        <v>489</v>
      </c>
      <c r="B27" s="1088">
        <v>67</v>
      </c>
      <c r="C27" s="1088"/>
      <c r="D27" s="211">
        <v>67</v>
      </c>
      <c r="E27" s="214"/>
      <c r="F27" s="1069">
        <f>+E27+D27+C27</f>
        <v>67</v>
      </c>
      <c r="H27" s="1070">
        <f t="shared" si="0"/>
        <v>0</v>
      </c>
    </row>
    <row r="28" spans="1:8" ht="12.75" thickBot="1">
      <c r="A28" s="1089" t="s">
        <v>490</v>
      </c>
      <c r="B28" s="1090"/>
      <c r="C28" s="1090"/>
      <c r="D28" s="212"/>
      <c r="E28" s="1091"/>
      <c r="F28" s="1069">
        <f>+E28+D28+C28</f>
        <v>0</v>
      </c>
      <c r="H28" s="1070">
        <f t="shared" si="0"/>
        <v>0</v>
      </c>
    </row>
    <row r="29" spans="1:10" ht="12.75" thickBot="1">
      <c r="A29" s="215" t="s">
        <v>491</v>
      </c>
      <c r="B29" s="1080">
        <f>+B27+B28</f>
        <v>67</v>
      </c>
      <c r="C29" s="1080">
        <f>+C27+C28</f>
        <v>0</v>
      </c>
      <c r="D29" s="1081">
        <f>+D27+D28</f>
        <v>67</v>
      </c>
      <c r="E29" s="1082">
        <f>+E27+E28</f>
        <v>0</v>
      </c>
      <c r="F29" s="1083">
        <f>+F27+F28</f>
        <v>67</v>
      </c>
      <c r="H29" s="1070">
        <f t="shared" si="0"/>
        <v>0</v>
      </c>
      <c r="I29" s="1057">
        <f>+'1.3.mell._HVÓBKI_Mérleg2014'!C224</f>
        <v>67</v>
      </c>
      <c r="J29" s="1070">
        <f>+B29-I29</f>
        <v>0</v>
      </c>
    </row>
    <row r="30" spans="1:8" ht="12">
      <c r="A30" s="1084"/>
      <c r="B30" s="1085"/>
      <c r="C30" s="1085"/>
      <c r="D30" s="213"/>
      <c r="E30" s="213"/>
      <c r="F30" s="1086"/>
      <c r="H30" s="1070"/>
    </row>
    <row r="31" spans="1:8" ht="12">
      <c r="A31" s="1087" t="s">
        <v>492</v>
      </c>
      <c r="B31" s="1088">
        <v>9</v>
      </c>
      <c r="C31" s="1088"/>
      <c r="D31" s="214">
        <v>9</v>
      </c>
      <c r="E31" s="214"/>
      <c r="F31" s="1069">
        <f>+E31+D31+C31</f>
        <v>9</v>
      </c>
      <c r="H31" s="1070">
        <f t="shared" si="0"/>
        <v>0</v>
      </c>
    </row>
    <row r="32" spans="1:8" ht="12.75" thickBot="1">
      <c r="A32" s="1089" t="s">
        <v>493</v>
      </c>
      <c r="B32" s="1090"/>
      <c r="C32" s="1090"/>
      <c r="D32" s="1091"/>
      <c r="E32" s="1091"/>
      <c r="F32" s="1069">
        <f>+E32+D32+C32</f>
        <v>0</v>
      </c>
      <c r="H32" s="1070">
        <f t="shared" si="0"/>
        <v>0</v>
      </c>
    </row>
    <row r="33" spans="1:10" ht="12.75" thickBot="1">
      <c r="A33" s="215" t="s">
        <v>494</v>
      </c>
      <c r="B33" s="1080">
        <f>+B31+B32</f>
        <v>9</v>
      </c>
      <c r="C33" s="1080">
        <f>+C31+C32</f>
        <v>0</v>
      </c>
      <c r="D33" s="1081">
        <f>+D31+D32</f>
        <v>9</v>
      </c>
      <c r="E33" s="1082">
        <f>+E31+E32</f>
        <v>0</v>
      </c>
      <c r="F33" s="1083">
        <f>+F31+F32</f>
        <v>9</v>
      </c>
      <c r="H33" s="1070">
        <f t="shared" si="0"/>
        <v>0</v>
      </c>
      <c r="I33" s="1057">
        <f>+'1.4.mell._HKK_Mérleg2014'!C224</f>
        <v>9</v>
      </c>
      <c r="J33" s="1070">
        <f>+B33-I33</f>
        <v>0</v>
      </c>
    </row>
    <row r="34" spans="1:8" ht="12.75" thickBot="1">
      <c r="A34" s="1092"/>
      <c r="B34" s="1072"/>
      <c r="C34" s="1072"/>
      <c r="D34" s="1093"/>
      <c r="E34" s="1073"/>
      <c r="F34" s="1069"/>
      <c r="H34" s="1070"/>
    </row>
    <row r="35" spans="1:10" ht="12.75" thickBot="1">
      <c r="A35" s="1094" t="s">
        <v>501</v>
      </c>
      <c r="B35" s="1080">
        <f>+B15+B25+B29+B33</f>
        <v>110.5</v>
      </c>
      <c r="C35" s="1080">
        <f>+C15+C25+C29+C33</f>
        <v>31.5</v>
      </c>
      <c r="D35" s="1081">
        <f>+D15+D25+D29+D33</f>
        <v>79</v>
      </c>
      <c r="E35" s="1095">
        <f>+E15+E25+E29+E33</f>
        <v>0</v>
      </c>
      <c r="F35" s="1083">
        <f>+F15+F25+F29+F33</f>
        <v>110.5</v>
      </c>
      <c r="H35" s="1070">
        <f t="shared" si="0"/>
        <v>0</v>
      </c>
      <c r="I35" s="1057">
        <f>+'1.mell._Össz_Mérleg2014'!C224</f>
        <v>110.5</v>
      </c>
      <c r="J35" s="1070">
        <f>+B35-I35</f>
        <v>0</v>
      </c>
    </row>
    <row r="36" spans="1:8" ht="12">
      <c r="A36" s="1056"/>
      <c r="B36" s="1056"/>
      <c r="C36" s="1056"/>
      <c r="D36" s="1056"/>
      <c r="E36" s="1056"/>
      <c r="F36" s="1056"/>
      <c r="H36" s="1070"/>
    </row>
    <row r="37" spans="1:8" ht="15.75">
      <c r="A37" s="1320" t="s">
        <v>495</v>
      </c>
      <c r="B37" s="1320"/>
      <c r="C37" s="1320"/>
      <c r="D37" s="1320"/>
      <c r="E37" s="1320"/>
      <c r="F37" s="1320"/>
      <c r="H37" s="1070"/>
    </row>
    <row r="38" spans="1:8" ht="12.75" thickBot="1">
      <c r="A38" s="1056"/>
      <c r="B38" s="1056"/>
      <c r="C38" s="1056"/>
      <c r="D38" s="1056"/>
      <c r="E38" s="1056"/>
      <c r="F38" s="1056"/>
      <c r="H38" s="1070"/>
    </row>
    <row r="39" spans="1:9" s="1058" customFormat="1" ht="12.75" customHeight="1" thickBot="1">
      <c r="A39" s="1313" t="s">
        <v>7</v>
      </c>
      <c r="B39" s="1318" t="s">
        <v>498</v>
      </c>
      <c r="C39" s="1315" t="s">
        <v>498</v>
      </c>
      <c r="D39" s="1316"/>
      <c r="E39" s="1316"/>
      <c r="F39" s="1317"/>
      <c r="H39" s="1070"/>
      <c r="I39" s="1059"/>
    </row>
    <row r="40" spans="1:9" s="1058" customFormat="1" ht="48.75" thickBot="1">
      <c r="A40" s="1314"/>
      <c r="B40" s="1319"/>
      <c r="C40" s="1060" t="s">
        <v>479</v>
      </c>
      <c r="D40" s="221" t="s">
        <v>480</v>
      </c>
      <c r="E40" s="1061" t="s">
        <v>481</v>
      </c>
      <c r="F40" s="1062" t="s">
        <v>18</v>
      </c>
      <c r="H40" s="1070"/>
      <c r="I40" s="1059"/>
    </row>
    <row r="41" spans="1:8" ht="12">
      <c r="A41" s="1063"/>
      <c r="B41" s="1096"/>
      <c r="C41" s="1096"/>
      <c r="D41" s="216"/>
      <c r="E41" s="216"/>
      <c r="F41" s="1097"/>
      <c r="H41" s="1070"/>
    </row>
    <row r="42" spans="1:8" ht="12">
      <c r="A42" s="1066" t="s">
        <v>482</v>
      </c>
      <c r="B42" s="1067">
        <f>+B43+B44+B45</f>
        <v>471</v>
      </c>
      <c r="C42" s="1067">
        <f>+C43+C44+C45</f>
        <v>0</v>
      </c>
      <c r="D42" s="1068">
        <f>+D43+D44+D45</f>
        <v>0</v>
      </c>
      <c r="E42" s="1068">
        <f>+E43+E44+E45</f>
        <v>471</v>
      </c>
      <c r="F42" s="1069">
        <f>+F43+F44+F45</f>
        <v>471</v>
      </c>
      <c r="H42" s="1070">
        <f t="shared" si="0"/>
        <v>0</v>
      </c>
    </row>
    <row r="43" spans="1:8" ht="12">
      <c r="A43" s="1071" t="s">
        <v>992</v>
      </c>
      <c r="B43" s="1072">
        <v>0</v>
      </c>
      <c r="C43" s="1072"/>
      <c r="D43" s="1073"/>
      <c r="E43" s="1073">
        <v>0</v>
      </c>
      <c r="F43" s="1069">
        <f>+C43+D43+E43</f>
        <v>0</v>
      </c>
      <c r="H43" s="1070">
        <f t="shared" si="0"/>
        <v>0</v>
      </c>
    </row>
    <row r="44" spans="1:8" ht="12">
      <c r="A44" s="1074" t="s">
        <v>995</v>
      </c>
      <c r="B44" s="1075">
        <v>471</v>
      </c>
      <c r="C44" s="1075"/>
      <c r="D44" s="1076"/>
      <c r="E44" s="1076">
        <v>471</v>
      </c>
      <c r="F44" s="1069">
        <f>+C44+D44+E44</f>
        <v>471</v>
      </c>
      <c r="H44" s="1070">
        <f t="shared" si="0"/>
        <v>0</v>
      </c>
    </row>
    <row r="45" spans="1:8" ht="12.75" thickBot="1">
      <c r="A45" s="1098" t="s">
        <v>998</v>
      </c>
      <c r="B45" s="1099">
        <v>0</v>
      </c>
      <c r="C45" s="1099"/>
      <c r="D45" s="1100"/>
      <c r="E45" s="1100">
        <v>0</v>
      </c>
      <c r="F45" s="1069">
        <f>+C45+D45+E45</f>
        <v>0</v>
      </c>
      <c r="H45" s="1070">
        <f t="shared" si="0"/>
        <v>0</v>
      </c>
    </row>
    <row r="46" spans="1:10" ht="12.75" thickBot="1">
      <c r="A46" s="215" t="s">
        <v>485</v>
      </c>
      <c r="B46" s="1080">
        <f>+B42</f>
        <v>471</v>
      </c>
      <c r="C46" s="1080">
        <f>+C42</f>
        <v>0</v>
      </c>
      <c r="D46" s="1095">
        <f>+D42</f>
        <v>0</v>
      </c>
      <c r="E46" s="1095">
        <f>+E42</f>
        <v>471</v>
      </c>
      <c r="F46" s="1083">
        <f>+F42</f>
        <v>471</v>
      </c>
      <c r="H46" s="1070">
        <f t="shared" si="0"/>
        <v>0</v>
      </c>
      <c r="I46" s="1057">
        <f>+'1.1.mell._ÖNK_Mérleg2014'!C226</f>
        <v>471</v>
      </c>
      <c r="J46" s="1057">
        <f>+B46-I46</f>
        <v>0</v>
      </c>
    </row>
    <row r="47" spans="1:8" ht="12.75" thickBot="1">
      <c r="A47" s="215"/>
      <c r="B47" s="1080"/>
      <c r="C47" s="1080"/>
      <c r="D47" s="1095"/>
      <c r="E47" s="1095"/>
      <c r="F47" s="1083"/>
      <c r="H47" s="1070"/>
    </row>
    <row r="48" spans="1:10" ht="12.75" thickBot="1">
      <c r="A48" s="1094" t="s">
        <v>500</v>
      </c>
      <c r="B48" s="1080">
        <f>+B46</f>
        <v>471</v>
      </c>
      <c r="C48" s="1080">
        <f>+C46</f>
        <v>0</v>
      </c>
      <c r="D48" s="1081">
        <f>+D46</f>
        <v>0</v>
      </c>
      <c r="E48" s="1095">
        <f>+E46</f>
        <v>471</v>
      </c>
      <c r="F48" s="1083">
        <f>+F46</f>
        <v>471</v>
      </c>
      <c r="H48" s="1070">
        <f t="shared" si="0"/>
        <v>0</v>
      </c>
      <c r="I48" s="1057">
        <f>+'1.mell._Össz_Mérleg2014'!C226</f>
        <v>471</v>
      </c>
      <c r="J48" s="1057">
        <f>+B48-I48</f>
        <v>0</v>
      </c>
    </row>
    <row r="49" ht="12.75" thickBot="1">
      <c r="H49" s="1070"/>
    </row>
    <row r="50" spans="1:10" s="1058" customFormat="1" ht="12.75" thickBot="1">
      <c r="A50" s="1101" t="s">
        <v>499</v>
      </c>
      <c r="B50" s="1102">
        <f>+B35+B48</f>
        <v>581.5</v>
      </c>
      <c r="C50" s="1103">
        <f>+C35+C48</f>
        <v>31.5</v>
      </c>
      <c r="D50" s="1104">
        <f>+D35+D48</f>
        <v>79</v>
      </c>
      <c r="E50" s="1103">
        <f>+E35+E48</f>
        <v>471</v>
      </c>
      <c r="F50" s="1102">
        <f>+F35+F48</f>
        <v>581.5</v>
      </c>
      <c r="H50" s="1070">
        <f t="shared" si="0"/>
        <v>0</v>
      </c>
      <c r="I50" s="1057">
        <f>+'1.mell._Össz_Mérleg2014'!C227</f>
        <v>581.5</v>
      </c>
      <c r="J50" s="1057">
        <f>+B50-I50</f>
        <v>0</v>
      </c>
    </row>
  </sheetData>
  <sheetProtection/>
  <mergeCells count="9">
    <mergeCell ref="A3:F3"/>
    <mergeCell ref="A4:F4"/>
    <mergeCell ref="A6:A7"/>
    <mergeCell ref="C6:F6"/>
    <mergeCell ref="B6:B7"/>
    <mergeCell ref="A39:A40"/>
    <mergeCell ref="A37:F37"/>
    <mergeCell ref="B39:B40"/>
    <mergeCell ref="C39:F3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T115"/>
  <sheetViews>
    <sheetView zoomScale="80" zoomScaleNormal="80" zoomScalePageLayoutView="0" workbookViewId="0" topLeftCell="C1">
      <selection activeCell="O1" sqref="O1"/>
    </sheetView>
  </sheetViews>
  <sheetFormatPr defaultColWidth="9.00390625" defaultRowHeight="12.75"/>
  <cols>
    <col min="1" max="1" width="50.75390625" style="26" customWidth="1"/>
    <col min="2" max="8" width="10.75390625" style="26" customWidth="1"/>
    <col min="9" max="9" width="50.75390625" style="26" customWidth="1"/>
    <col min="10" max="15" width="10.75390625" style="26" customWidth="1"/>
    <col min="16" max="16" width="9.125" style="26" customWidth="1"/>
    <col min="17" max="20" width="0" style="26" hidden="1" customWidth="1"/>
    <col min="21" max="16384" width="9.125" style="26" customWidth="1"/>
  </cols>
  <sheetData>
    <row r="1" spans="1:15" s="230" customFormat="1" ht="15.75">
      <c r="A1" s="208"/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23" t="s">
        <v>1406</v>
      </c>
    </row>
    <row r="2" spans="1:15" s="230" customFormat="1" ht="15.75">
      <c r="A2" s="1322" t="s">
        <v>540</v>
      </c>
      <c r="B2" s="1322"/>
      <c r="C2" s="1322"/>
      <c r="D2" s="1322"/>
      <c r="E2" s="1322"/>
      <c r="F2" s="1322"/>
      <c r="G2" s="1322"/>
      <c r="H2" s="1322"/>
      <c r="I2" s="1322"/>
      <c r="J2" s="1322"/>
      <c r="K2" s="1322"/>
      <c r="L2" s="1322"/>
      <c r="M2" s="1322"/>
      <c r="N2" s="1322"/>
      <c r="O2" s="1322"/>
    </row>
    <row r="3" s="230" customFormat="1" ht="15.75"/>
    <row r="4" spans="1:15" s="230" customFormat="1" ht="15.75">
      <c r="A4" s="225" t="s">
        <v>507</v>
      </c>
      <c r="B4" s="1323" t="s">
        <v>1226</v>
      </c>
      <c r="C4" s="1323"/>
      <c r="D4" s="1323"/>
      <c r="E4" s="1323"/>
      <c r="F4" s="1323"/>
      <c r="G4" s="1323"/>
      <c r="H4" s="224"/>
      <c r="I4" s="225" t="s">
        <v>508</v>
      </c>
      <c r="J4" s="1323" t="s">
        <v>1228</v>
      </c>
      <c r="K4" s="1323"/>
      <c r="L4" s="1323"/>
      <c r="M4" s="1323"/>
      <c r="N4" s="1323"/>
      <c r="O4" s="1323"/>
    </row>
    <row r="5" spans="1:15" s="230" customFormat="1" ht="15.75">
      <c r="A5" s="1250" t="s">
        <v>1227</v>
      </c>
      <c r="B5" s="1250"/>
      <c r="C5" s="1250"/>
      <c r="D5" s="1250"/>
      <c r="E5" s="1250"/>
      <c r="F5" s="1250"/>
      <c r="G5" s="1250"/>
      <c r="H5" s="208"/>
      <c r="I5" s="1250" t="s">
        <v>1229</v>
      </c>
      <c r="J5" s="1250"/>
      <c r="K5" s="1250"/>
      <c r="L5" s="1250"/>
      <c r="M5" s="1250"/>
      <c r="N5" s="1250"/>
      <c r="O5" s="1250"/>
    </row>
    <row r="6" spans="1:15" s="230" customFormat="1" ht="15.75">
      <c r="A6" s="1322" t="s">
        <v>1239</v>
      </c>
      <c r="B6" s="1322"/>
      <c r="C6" s="1322"/>
      <c r="D6" s="1322"/>
      <c r="E6" s="1322"/>
      <c r="F6" s="1322"/>
      <c r="G6" s="1322"/>
      <c r="H6" s="208"/>
      <c r="I6" s="1322" t="s">
        <v>1240</v>
      </c>
      <c r="J6" s="1322"/>
      <c r="K6" s="1322"/>
      <c r="L6" s="1322"/>
      <c r="M6" s="1322"/>
      <c r="N6" s="1322"/>
      <c r="O6" s="1322"/>
    </row>
    <row r="7" spans="1:15" s="27" customFormat="1" ht="12.75" thickBot="1">
      <c r="A7" s="233"/>
      <c r="B7" s="233"/>
      <c r="C7" s="233"/>
      <c r="D7" s="233"/>
      <c r="E7" s="233"/>
      <c r="G7" s="288" t="s">
        <v>319</v>
      </c>
      <c r="H7" s="233"/>
      <c r="I7" s="233"/>
      <c r="J7" s="233"/>
      <c r="K7" s="233"/>
      <c r="L7" s="233"/>
      <c r="M7" s="233"/>
      <c r="O7" s="288" t="s">
        <v>319</v>
      </c>
    </row>
    <row r="8" spans="1:15" s="28" customFormat="1" ht="24.75" thickBot="1">
      <c r="A8" s="524" t="s">
        <v>509</v>
      </c>
      <c r="B8" s="525" t="s">
        <v>529</v>
      </c>
      <c r="C8" s="234" t="s">
        <v>419</v>
      </c>
      <c r="D8" s="503" t="s">
        <v>510</v>
      </c>
      <c r="E8" s="504" t="s">
        <v>527</v>
      </c>
      <c r="F8" s="504" t="s">
        <v>528</v>
      </c>
      <c r="G8" s="389" t="s">
        <v>18</v>
      </c>
      <c r="H8" s="370"/>
      <c r="I8" s="524" t="s">
        <v>509</v>
      </c>
      <c r="J8" s="525" t="s">
        <v>529</v>
      </c>
      <c r="K8" s="234" t="s">
        <v>419</v>
      </c>
      <c r="L8" s="503" t="s">
        <v>510</v>
      </c>
      <c r="M8" s="504" t="s">
        <v>527</v>
      </c>
      <c r="N8" s="504" t="s">
        <v>528</v>
      </c>
      <c r="O8" s="389" t="s">
        <v>18</v>
      </c>
    </row>
    <row r="9" spans="1:15" ht="12">
      <c r="A9" s="235" t="s">
        <v>511</v>
      </c>
      <c r="B9" s="236">
        <f aca="true" t="shared" si="0" ref="B9:G9">+B26-B14-B13-B12-B11</f>
        <v>-81099</v>
      </c>
      <c r="C9" s="237">
        <f t="shared" si="0"/>
        <v>64039</v>
      </c>
      <c r="D9" s="238">
        <f t="shared" si="0"/>
        <v>0</v>
      </c>
      <c r="E9" s="239">
        <f t="shared" si="0"/>
        <v>0</v>
      </c>
      <c r="F9" s="239">
        <f t="shared" si="0"/>
        <v>0</v>
      </c>
      <c r="G9" s="240">
        <f t="shared" si="0"/>
        <v>-17060</v>
      </c>
      <c r="H9" s="209"/>
      <c r="I9" s="235" t="s">
        <v>511</v>
      </c>
      <c r="J9" s="236">
        <f aca="true" t="shared" si="1" ref="J9:O9">+J26-J14-J13-J12-J11</f>
        <v>16447</v>
      </c>
      <c r="K9" s="237">
        <f t="shared" si="1"/>
        <v>-12356</v>
      </c>
      <c r="L9" s="238">
        <f t="shared" si="1"/>
        <v>0</v>
      </c>
      <c r="M9" s="239">
        <f t="shared" si="1"/>
        <v>0</v>
      </c>
      <c r="N9" s="239">
        <f t="shared" si="1"/>
        <v>0</v>
      </c>
      <c r="O9" s="240">
        <f t="shared" si="1"/>
        <v>4091</v>
      </c>
    </row>
    <row r="10" spans="1:15" ht="12">
      <c r="A10" s="241" t="s">
        <v>512</v>
      </c>
      <c r="B10" s="242"/>
      <c r="C10" s="243"/>
      <c r="D10" s="244"/>
      <c r="E10" s="245"/>
      <c r="F10" s="245"/>
      <c r="G10" s="246">
        <f>+B10+C10+D10+E10+F10</f>
        <v>0</v>
      </c>
      <c r="H10" s="209"/>
      <c r="I10" s="241" t="s">
        <v>512</v>
      </c>
      <c r="J10" s="242"/>
      <c r="K10" s="243"/>
      <c r="L10" s="244"/>
      <c r="M10" s="245"/>
      <c r="N10" s="245"/>
      <c r="O10" s="246">
        <f>+J10+K10+L10+M10+N10</f>
        <v>0</v>
      </c>
    </row>
    <row r="11" spans="1:15" ht="12">
      <c r="A11" s="247" t="s">
        <v>513</v>
      </c>
      <c r="B11" s="248"/>
      <c r="C11" s="249"/>
      <c r="D11" s="250"/>
      <c r="E11" s="251"/>
      <c r="F11" s="251"/>
      <c r="G11" s="252">
        <f>+B11+C11+D11+E11+F11</f>
        <v>0</v>
      </c>
      <c r="H11" s="209"/>
      <c r="I11" s="247" t="s">
        <v>513</v>
      </c>
      <c r="J11" s="248">
        <v>24461</v>
      </c>
      <c r="K11" s="249">
        <v>12356</v>
      </c>
      <c r="L11" s="250"/>
      <c r="M11" s="251"/>
      <c r="N11" s="251"/>
      <c r="O11" s="252">
        <f>+J11+K11+L11+M11+N11</f>
        <v>36817</v>
      </c>
    </row>
    <row r="12" spans="1:15" ht="12">
      <c r="A12" s="247" t="s">
        <v>514</v>
      </c>
      <c r="B12" s="248">
        <v>149148</v>
      </c>
      <c r="C12" s="249"/>
      <c r="D12" s="250"/>
      <c r="E12" s="251"/>
      <c r="F12" s="251"/>
      <c r="G12" s="252">
        <f>+B12+C12+D12+E12+F12</f>
        <v>149148</v>
      </c>
      <c r="H12" s="209"/>
      <c r="I12" s="247" t="s">
        <v>514</v>
      </c>
      <c r="J12" s="248"/>
      <c r="K12" s="249"/>
      <c r="L12" s="250"/>
      <c r="M12" s="251"/>
      <c r="N12" s="251"/>
      <c r="O12" s="252">
        <f>+J12+K12+L12+M12+N12</f>
        <v>0</v>
      </c>
    </row>
    <row r="13" spans="1:15" ht="12">
      <c r="A13" s="247" t="s">
        <v>515</v>
      </c>
      <c r="B13" s="248"/>
      <c r="C13" s="249"/>
      <c r="D13" s="250"/>
      <c r="E13" s="251"/>
      <c r="F13" s="251"/>
      <c r="G13" s="252">
        <f>+B13+C13+D13+E13+F13</f>
        <v>0</v>
      </c>
      <c r="H13" s="209"/>
      <c r="I13" s="247" t="s">
        <v>515</v>
      </c>
      <c r="J13" s="248"/>
      <c r="K13" s="249"/>
      <c r="L13" s="250"/>
      <c r="M13" s="251"/>
      <c r="N13" s="251"/>
      <c r="O13" s="252">
        <f>+J13+K13+L13+M13+N13</f>
        <v>0</v>
      </c>
    </row>
    <row r="14" spans="1:15" ht="12.75" thickBot="1">
      <c r="A14" s="247" t="s">
        <v>516</v>
      </c>
      <c r="B14" s="248"/>
      <c r="C14" s="249"/>
      <c r="D14" s="250"/>
      <c r="E14" s="251"/>
      <c r="F14" s="251"/>
      <c r="G14" s="252">
        <f>+B14+C14+D14+E14+F14</f>
        <v>0</v>
      </c>
      <c r="H14" s="209"/>
      <c r="I14" s="247" t="s">
        <v>516</v>
      </c>
      <c r="J14" s="248"/>
      <c r="K14" s="249"/>
      <c r="L14" s="250"/>
      <c r="M14" s="251"/>
      <c r="N14" s="251"/>
      <c r="O14" s="252">
        <f>+J14+K14+L14+M14+N14</f>
        <v>0</v>
      </c>
    </row>
    <row r="15" spans="1:15" ht="12.75" thickBot="1">
      <c r="A15" s="226" t="s">
        <v>517</v>
      </c>
      <c r="B15" s="253">
        <f aca="true" t="shared" si="2" ref="B15:G15">+B9+B11+B12+B13+B14</f>
        <v>68049</v>
      </c>
      <c r="C15" s="254">
        <f t="shared" si="2"/>
        <v>64039</v>
      </c>
      <c r="D15" s="255">
        <f t="shared" si="2"/>
        <v>0</v>
      </c>
      <c r="E15" s="253">
        <f t="shared" si="2"/>
        <v>0</v>
      </c>
      <c r="F15" s="253">
        <f t="shared" si="2"/>
        <v>0</v>
      </c>
      <c r="G15" s="254">
        <f t="shared" si="2"/>
        <v>132088</v>
      </c>
      <c r="H15" s="209"/>
      <c r="I15" s="226" t="s">
        <v>517</v>
      </c>
      <c r="J15" s="253">
        <f aca="true" t="shared" si="3" ref="J15:O15">+J9+J11+J12+J13+J14</f>
        <v>40908</v>
      </c>
      <c r="K15" s="254">
        <f t="shared" si="3"/>
        <v>0</v>
      </c>
      <c r="L15" s="255">
        <f t="shared" si="3"/>
        <v>0</v>
      </c>
      <c r="M15" s="253">
        <f t="shared" si="3"/>
        <v>0</v>
      </c>
      <c r="N15" s="253">
        <f t="shared" si="3"/>
        <v>0</v>
      </c>
      <c r="O15" s="254">
        <f t="shared" si="3"/>
        <v>40908</v>
      </c>
    </row>
    <row r="16" spans="1:15" ht="12.75" thickBot="1">
      <c r="A16" s="256"/>
      <c r="B16" s="256"/>
      <c r="C16" s="256"/>
      <c r="D16" s="256"/>
      <c r="E16" s="256"/>
      <c r="F16" s="256"/>
      <c r="G16" s="256"/>
      <c r="H16" s="209"/>
      <c r="I16" s="256"/>
      <c r="J16" s="256"/>
      <c r="K16" s="256"/>
      <c r="L16" s="256"/>
      <c r="M16" s="256"/>
      <c r="N16" s="256"/>
      <c r="O16" s="256"/>
    </row>
    <row r="17" spans="1:15" s="28" customFormat="1" ht="24.75" thickBot="1">
      <c r="A17" s="524" t="s">
        <v>518</v>
      </c>
      <c r="B17" s="525" t="s">
        <v>529</v>
      </c>
      <c r="C17" s="234" t="s">
        <v>419</v>
      </c>
      <c r="D17" s="503" t="s">
        <v>510</v>
      </c>
      <c r="E17" s="504" t="s">
        <v>527</v>
      </c>
      <c r="F17" s="504" t="s">
        <v>528</v>
      </c>
      <c r="G17" s="389" t="s">
        <v>18</v>
      </c>
      <c r="H17" s="370"/>
      <c r="I17" s="524" t="s">
        <v>518</v>
      </c>
      <c r="J17" s="525" t="s">
        <v>529</v>
      </c>
      <c r="K17" s="234" t="s">
        <v>419</v>
      </c>
      <c r="L17" s="503" t="s">
        <v>510</v>
      </c>
      <c r="M17" s="504" t="s">
        <v>527</v>
      </c>
      <c r="N17" s="504" t="s">
        <v>528</v>
      </c>
      <c r="O17" s="389" t="s">
        <v>18</v>
      </c>
    </row>
    <row r="18" spans="1:15" ht="12">
      <c r="A18" s="235" t="s">
        <v>531</v>
      </c>
      <c r="B18" s="236"/>
      <c r="C18" s="237"/>
      <c r="D18" s="238"/>
      <c r="E18" s="239"/>
      <c r="F18" s="239"/>
      <c r="G18" s="240">
        <f aca="true" t="shared" si="4" ref="G18:G25">+B18+C18+D18+E18+F18</f>
        <v>0</v>
      </c>
      <c r="H18" s="209"/>
      <c r="I18" s="235" t="s">
        <v>531</v>
      </c>
      <c r="J18" s="236"/>
      <c r="K18" s="237"/>
      <c r="L18" s="238"/>
      <c r="M18" s="239"/>
      <c r="N18" s="239"/>
      <c r="O18" s="240">
        <f aca="true" t="shared" si="5" ref="O18:O25">+J18+K18+L18+M18+N18</f>
        <v>0</v>
      </c>
    </row>
    <row r="19" spans="1:15" ht="12">
      <c r="A19" s="257" t="s">
        <v>532</v>
      </c>
      <c r="B19" s="248"/>
      <c r="C19" s="249"/>
      <c r="D19" s="250"/>
      <c r="E19" s="251"/>
      <c r="F19" s="251"/>
      <c r="G19" s="252">
        <f t="shared" si="4"/>
        <v>0</v>
      </c>
      <c r="H19" s="209"/>
      <c r="I19" s="257" t="s">
        <v>532</v>
      </c>
      <c r="J19" s="248"/>
      <c r="K19" s="249"/>
      <c r="L19" s="250"/>
      <c r="M19" s="251"/>
      <c r="N19" s="251"/>
      <c r="O19" s="252">
        <f t="shared" si="5"/>
        <v>0</v>
      </c>
    </row>
    <row r="20" spans="1:15" ht="12">
      <c r="A20" s="247" t="s">
        <v>533</v>
      </c>
      <c r="B20" s="248"/>
      <c r="C20" s="249"/>
      <c r="D20" s="250"/>
      <c r="E20" s="251"/>
      <c r="F20" s="251"/>
      <c r="G20" s="252">
        <f t="shared" si="4"/>
        <v>0</v>
      </c>
      <c r="H20" s="209"/>
      <c r="I20" s="247" t="s">
        <v>533</v>
      </c>
      <c r="J20" s="248">
        <v>508</v>
      </c>
      <c r="K20" s="249"/>
      <c r="L20" s="250"/>
      <c r="M20" s="251"/>
      <c r="N20" s="251"/>
      <c r="O20" s="252">
        <f t="shared" si="5"/>
        <v>508</v>
      </c>
    </row>
    <row r="21" spans="1:15" ht="12">
      <c r="A21" s="247" t="s">
        <v>534</v>
      </c>
      <c r="B21" s="248"/>
      <c r="C21" s="249"/>
      <c r="D21" s="250"/>
      <c r="E21" s="251"/>
      <c r="F21" s="251"/>
      <c r="G21" s="252">
        <f t="shared" si="4"/>
        <v>0</v>
      </c>
      <c r="H21" s="209"/>
      <c r="I21" s="247" t="s">
        <v>534</v>
      </c>
      <c r="J21" s="248"/>
      <c r="K21" s="249"/>
      <c r="L21" s="250"/>
      <c r="M21" s="251"/>
      <c r="N21" s="251"/>
      <c r="O21" s="252">
        <f t="shared" si="5"/>
        <v>0</v>
      </c>
    </row>
    <row r="22" spans="1:15" ht="12">
      <c r="A22" s="258" t="s">
        <v>535</v>
      </c>
      <c r="B22" s="259"/>
      <c r="C22" s="249"/>
      <c r="D22" s="250"/>
      <c r="E22" s="251"/>
      <c r="F22" s="251"/>
      <c r="G22" s="252">
        <f t="shared" si="4"/>
        <v>0</v>
      </c>
      <c r="H22" s="209"/>
      <c r="I22" s="258" t="s">
        <v>535</v>
      </c>
      <c r="J22" s="259"/>
      <c r="K22" s="249"/>
      <c r="L22" s="250"/>
      <c r="M22" s="251"/>
      <c r="N22" s="251"/>
      <c r="O22" s="252">
        <f t="shared" si="5"/>
        <v>0</v>
      </c>
    </row>
    <row r="23" spans="1:15" ht="12">
      <c r="A23" s="258" t="s">
        <v>536</v>
      </c>
      <c r="B23" s="259">
        <v>29850</v>
      </c>
      <c r="C23" s="249">
        <v>64039</v>
      </c>
      <c r="D23" s="250"/>
      <c r="E23" s="251"/>
      <c r="F23" s="251"/>
      <c r="G23" s="252">
        <f t="shared" si="4"/>
        <v>93889</v>
      </c>
      <c r="H23" s="209"/>
      <c r="I23" s="258" t="s">
        <v>536</v>
      </c>
      <c r="J23" s="259">
        <v>40400</v>
      </c>
      <c r="K23" s="249"/>
      <c r="L23" s="250"/>
      <c r="M23" s="251"/>
      <c r="N23" s="251"/>
      <c r="O23" s="252">
        <f t="shared" si="5"/>
        <v>40400</v>
      </c>
    </row>
    <row r="24" spans="1:15" ht="12">
      <c r="A24" s="260" t="s">
        <v>537</v>
      </c>
      <c r="B24" s="261">
        <v>38199</v>
      </c>
      <c r="C24" s="262"/>
      <c r="D24" s="263"/>
      <c r="E24" s="264"/>
      <c r="F24" s="264"/>
      <c r="G24" s="252">
        <f t="shared" si="4"/>
        <v>38199</v>
      </c>
      <c r="H24" s="209"/>
      <c r="I24" s="260" t="s">
        <v>537</v>
      </c>
      <c r="J24" s="261"/>
      <c r="K24" s="262"/>
      <c r="L24" s="263"/>
      <c r="M24" s="264"/>
      <c r="N24" s="264"/>
      <c r="O24" s="252">
        <f t="shared" si="5"/>
        <v>0</v>
      </c>
    </row>
    <row r="25" spans="1:15" ht="12.75" thickBot="1">
      <c r="A25" s="260" t="s">
        <v>538</v>
      </c>
      <c r="B25" s="261"/>
      <c r="C25" s="262"/>
      <c r="D25" s="263"/>
      <c r="E25" s="264"/>
      <c r="F25" s="264"/>
      <c r="G25" s="252">
        <f t="shared" si="4"/>
        <v>0</v>
      </c>
      <c r="H25" s="209"/>
      <c r="I25" s="260" t="s">
        <v>538</v>
      </c>
      <c r="J25" s="261"/>
      <c r="K25" s="262"/>
      <c r="L25" s="263"/>
      <c r="M25" s="264"/>
      <c r="N25" s="264"/>
      <c r="O25" s="252">
        <f t="shared" si="5"/>
        <v>0</v>
      </c>
    </row>
    <row r="26" spans="1:15" ht="12.75" thickBot="1">
      <c r="A26" s="226" t="s">
        <v>539</v>
      </c>
      <c r="B26" s="253">
        <f aca="true" t="shared" si="6" ref="B26:G26">+B18+B19+B20+B21+B22+B23+B24+B25</f>
        <v>68049</v>
      </c>
      <c r="C26" s="254">
        <f t="shared" si="6"/>
        <v>64039</v>
      </c>
      <c r="D26" s="255">
        <f t="shared" si="6"/>
        <v>0</v>
      </c>
      <c r="E26" s="253">
        <f t="shared" si="6"/>
        <v>0</v>
      </c>
      <c r="F26" s="253">
        <f t="shared" si="6"/>
        <v>0</v>
      </c>
      <c r="G26" s="254">
        <f t="shared" si="6"/>
        <v>132088</v>
      </c>
      <c r="H26" s="209"/>
      <c r="I26" s="226" t="s">
        <v>539</v>
      </c>
      <c r="J26" s="253">
        <f aca="true" t="shared" si="7" ref="J26:O26">+J18+J19+J20+J21+J22+J23+J24+J25</f>
        <v>40908</v>
      </c>
      <c r="K26" s="254">
        <f t="shared" si="7"/>
        <v>0</v>
      </c>
      <c r="L26" s="255">
        <f t="shared" si="7"/>
        <v>0</v>
      </c>
      <c r="M26" s="253">
        <f t="shared" si="7"/>
        <v>0</v>
      </c>
      <c r="N26" s="253">
        <f t="shared" si="7"/>
        <v>0</v>
      </c>
      <c r="O26" s="254">
        <f t="shared" si="7"/>
        <v>40908</v>
      </c>
    </row>
    <row r="29" spans="1:15" s="230" customFormat="1" ht="15.75">
      <c r="A29" s="225" t="s">
        <v>520</v>
      </c>
      <c r="B29" s="1323" t="s">
        <v>1230</v>
      </c>
      <c r="C29" s="1323"/>
      <c r="D29" s="1323"/>
      <c r="E29" s="1323"/>
      <c r="F29" s="1323"/>
      <c r="G29" s="1323"/>
      <c r="H29" s="208"/>
      <c r="I29" s="225" t="s">
        <v>521</v>
      </c>
      <c r="J29" s="1323" t="s">
        <v>1234</v>
      </c>
      <c r="K29" s="1323"/>
      <c r="L29" s="1323"/>
      <c r="M29" s="1323"/>
      <c r="N29" s="1323"/>
      <c r="O29" s="1323"/>
    </row>
    <row r="30" spans="1:15" s="230" customFormat="1" ht="15.75" customHeight="1">
      <c r="A30" s="1250" t="s">
        <v>1231</v>
      </c>
      <c r="B30" s="1250"/>
      <c r="C30" s="1250"/>
      <c r="D30" s="1250"/>
      <c r="E30" s="1250"/>
      <c r="F30" s="1250"/>
      <c r="G30" s="1250"/>
      <c r="H30" s="208"/>
      <c r="I30" s="1250" t="s">
        <v>1235</v>
      </c>
      <c r="J30" s="1250"/>
      <c r="K30" s="1250"/>
      <c r="L30" s="1250"/>
      <c r="M30" s="1250"/>
      <c r="N30" s="1250"/>
      <c r="O30" s="1250"/>
    </row>
    <row r="31" spans="1:15" s="230" customFormat="1" ht="15.75">
      <c r="A31" s="1322" t="s">
        <v>1239</v>
      </c>
      <c r="B31" s="1322"/>
      <c r="C31" s="1322"/>
      <c r="D31" s="1322"/>
      <c r="E31" s="1322"/>
      <c r="F31" s="1322"/>
      <c r="G31" s="1322"/>
      <c r="H31" s="208"/>
      <c r="I31" s="1322" t="s">
        <v>1239</v>
      </c>
      <c r="J31" s="1322"/>
      <c r="K31" s="1322"/>
      <c r="L31" s="1322"/>
      <c r="M31" s="1322"/>
      <c r="N31" s="1322"/>
      <c r="O31" s="1322"/>
    </row>
    <row r="32" spans="1:15" s="27" customFormat="1" ht="12.75" thickBot="1">
      <c r="A32" s="233"/>
      <c r="B32" s="233"/>
      <c r="C32" s="233"/>
      <c r="D32" s="233"/>
      <c r="E32" s="233"/>
      <c r="G32" s="288" t="s">
        <v>319</v>
      </c>
      <c r="H32" s="233"/>
      <c r="I32" s="233"/>
      <c r="J32" s="233"/>
      <c r="K32" s="233"/>
      <c r="L32" s="233"/>
      <c r="M32" s="233"/>
      <c r="O32" s="288" t="s">
        <v>319</v>
      </c>
    </row>
    <row r="33" spans="1:15" s="28" customFormat="1" ht="24.75" thickBot="1">
      <c r="A33" s="524" t="s">
        <v>509</v>
      </c>
      <c r="B33" s="525" t="s">
        <v>529</v>
      </c>
      <c r="C33" s="234" t="s">
        <v>419</v>
      </c>
      <c r="D33" s="503" t="s">
        <v>510</v>
      </c>
      <c r="E33" s="504" t="s">
        <v>527</v>
      </c>
      <c r="F33" s="504" t="s">
        <v>528</v>
      </c>
      <c r="G33" s="389" t="s">
        <v>18</v>
      </c>
      <c r="H33" s="370"/>
      <c r="I33" s="524" t="s">
        <v>509</v>
      </c>
      <c r="J33" s="525" t="s">
        <v>529</v>
      </c>
      <c r="K33" s="234" t="s">
        <v>419</v>
      </c>
      <c r="L33" s="503" t="s">
        <v>510</v>
      </c>
      <c r="M33" s="504" t="s">
        <v>527</v>
      </c>
      <c r="N33" s="504" t="s">
        <v>528</v>
      </c>
      <c r="O33" s="389" t="s">
        <v>18</v>
      </c>
    </row>
    <row r="34" spans="1:15" ht="12">
      <c r="A34" s="235" t="s">
        <v>511</v>
      </c>
      <c r="B34" s="236">
        <f aca="true" t="shared" si="8" ref="B34:G34">+B51-B39-B38-B37-B36</f>
        <v>-2867</v>
      </c>
      <c r="C34" s="237">
        <f t="shared" si="8"/>
        <v>0</v>
      </c>
      <c r="D34" s="238">
        <f t="shared" si="8"/>
        <v>0</v>
      </c>
      <c r="E34" s="239">
        <f t="shared" si="8"/>
        <v>0</v>
      </c>
      <c r="F34" s="239">
        <f t="shared" si="8"/>
        <v>0</v>
      </c>
      <c r="G34" s="240">
        <f t="shared" si="8"/>
        <v>-2867</v>
      </c>
      <c r="H34" s="209"/>
      <c r="I34" s="235" t="s">
        <v>511</v>
      </c>
      <c r="J34" s="236">
        <f aca="true" t="shared" si="9" ref="J34:O34">+J51-J39-J38-J37-J36</f>
        <v>-10992</v>
      </c>
      <c r="K34" s="237">
        <f t="shared" si="9"/>
        <v>0</v>
      </c>
      <c r="L34" s="238">
        <f t="shared" si="9"/>
        <v>0</v>
      </c>
      <c r="M34" s="239">
        <f t="shared" si="9"/>
        <v>0</v>
      </c>
      <c r="N34" s="239">
        <f t="shared" si="9"/>
        <v>0</v>
      </c>
      <c r="O34" s="240">
        <f t="shared" si="9"/>
        <v>-10992</v>
      </c>
    </row>
    <row r="35" spans="1:15" ht="12">
      <c r="A35" s="241" t="s">
        <v>512</v>
      </c>
      <c r="B35" s="242"/>
      <c r="C35" s="243"/>
      <c r="D35" s="244"/>
      <c r="E35" s="245"/>
      <c r="F35" s="245"/>
      <c r="G35" s="246">
        <f>+B35+C35+D35+E35+F35</f>
        <v>0</v>
      </c>
      <c r="H35" s="209"/>
      <c r="I35" s="241" t="s">
        <v>512</v>
      </c>
      <c r="J35" s="242"/>
      <c r="K35" s="243"/>
      <c r="L35" s="244"/>
      <c r="M35" s="245"/>
      <c r="N35" s="245"/>
      <c r="O35" s="246">
        <f>+J35+K35+L35+M35+N35</f>
        <v>0</v>
      </c>
    </row>
    <row r="36" spans="1:15" ht="12">
      <c r="A36" s="247" t="s">
        <v>513</v>
      </c>
      <c r="B36" s="248">
        <v>4407</v>
      </c>
      <c r="C36" s="249"/>
      <c r="D36" s="250"/>
      <c r="E36" s="251"/>
      <c r="F36" s="251"/>
      <c r="G36" s="252">
        <f>+B36+C36+D36+E36+F36</f>
        <v>4407</v>
      </c>
      <c r="H36" s="209"/>
      <c r="I36" s="247" t="s">
        <v>513</v>
      </c>
      <c r="J36" s="248">
        <v>30792</v>
      </c>
      <c r="K36" s="249"/>
      <c r="L36" s="250"/>
      <c r="M36" s="251"/>
      <c r="N36" s="251"/>
      <c r="O36" s="252">
        <f>+J36+K36+L36+M36+N36</f>
        <v>30792</v>
      </c>
    </row>
    <row r="37" spans="1:15" ht="12">
      <c r="A37" s="247" t="s">
        <v>514</v>
      </c>
      <c r="B37" s="248"/>
      <c r="C37" s="249"/>
      <c r="D37" s="250"/>
      <c r="E37" s="251"/>
      <c r="F37" s="251"/>
      <c r="G37" s="252">
        <f>+B37+C37+D37+E37+F37</f>
        <v>0</v>
      </c>
      <c r="H37" s="209"/>
      <c r="I37" s="247" t="s">
        <v>514</v>
      </c>
      <c r="J37" s="248"/>
      <c r="K37" s="249"/>
      <c r="L37" s="250"/>
      <c r="M37" s="251"/>
      <c r="N37" s="251"/>
      <c r="O37" s="252">
        <f>+J37+K37+L37+M37+N37</f>
        <v>0</v>
      </c>
    </row>
    <row r="38" spans="1:15" ht="12">
      <c r="A38" s="247" t="s">
        <v>515</v>
      </c>
      <c r="B38" s="248"/>
      <c r="C38" s="249"/>
      <c r="D38" s="250"/>
      <c r="E38" s="251"/>
      <c r="F38" s="251"/>
      <c r="G38" s="252">
        <f>+B38+C38+D38+E38+F38</f>
        <v>0</v>
      </c>
      <c r="H38" s="209"/>
      <c r="I38" s="247" t="s">
        <v>515</v>
      </c>
      <c r="J38" s="248"/>
      <c r="K38" s="249"/>
      <c r="L38" s="250"/>
      <c r="M38" s="251"/>
      <c r="N38" s="251"/>
      <c r="O38" s="252">
        <f>+J38+K38+L38+M38+N38</f>
        <v>0</v>
      </c>
    </row>
    <row r="39" spans="1:15" ht="12.75" thickBot="1">
      <c r="A39" s="247" t="s">
        <v>516</v>
      </c>
      <c r="B39" s="248">
        <v>1369</v>
      </c>
      <c r="C39" s="249"/>
      <c r="D39" s="250"/>
      <c r="E39" s="251"/>
      <c r="F39" s="251"/>
      <c r="G39" s="252">
        <f>+B39+C39+D39+E39+F39</f>
        <v>1369</v>
      </c>
      <c r="H39" s="209"/>
      <c r="I39" s="247" t="s">
        <v>516</v>
      </c>
      <c r="J39" s="248"/>
      <c r="K39" s="249"/>
      <c r="L39" s="250"/>
      <c r="M39" s="251"/>
      <c r="N39" s="251"/>
      <c r="O39" s="252">
        <f>+J39+K39+L39+M39+N39</f>
        <v>0</v>
      </c>
    </row>
    <row r="40" spans="1:15" ht="12.75" thickBot="1">
      <c r="A40" s="226" t="s">
        <v>517</v>
      </c>
      <c r="B40" s="253">
        <f aca="true" t="shared" si="10" ref="B40:G40">+B34+B36+B37+B38+B39</f>
        <v>2909</v>
      </c>
      <c r="C40" s="254">
        <f t="shared" si="10"/>
        <v>0</v>
      </c>
      <c r="D40" s="255">
        <f t="shared" si="10"/>
        <v>0</v>
      </c>
      <c r="E40" s="253">
        <f t="shared" si="10"/>
        <v>0</v>
      </c>
      <c r="F40" s="253">
        <f t="shared" si="10"/>
        <v>0</v>
      </c>
      <c r="G40" s="254">
        <f t="shared" si="10"/>
        <v>2909</v>
      </c>
      <c r="H40" s="209"/>
      <c r="I40" s="226" t="s">
        <v>517</v>
      </c>
      <c r="J40" s="253">
        <f aca="true" t="shared" si="11" ref="J40:O40">+J34+J36+J37+J38+J39</f>
        <v>19800</v>
      </c>
      <c r="K40" s="254">
        <f t="shared" si="11"/>
        <v>0</v>
      </c>
      <c r="L40" s="255">
        <f t="shared" si="11"/>
        <v>0</v>
      </c>
      <c r="M40" s="253">
        <f t="shared" si="11"/>
        <v>0</v>
      </c>
      <c r="N40" s="253">
        <f t="shared" si="11"/>
        <v>0</v>
      </c>
      <c r="O40" s="254">
        <f t="shared" si="11"/>
        <v>19800</v>
      </c>
    </row>
    <row r="41" spans="1:15" ht="12.75" thickBot="1">
      <c r="A41" s="256"/>
      <c r="B41" s="256"/>
      <c r="C41" s="256"/>
      <c r="D41" s="256"/>
      <c r="E41" s="256"/>
      <c r="F41" s="256"/>
      <c r="G41" s="256"/>
      <c r="H41" s="209"/>
      <c r="I41" s="256"/>
      <c r="J41" s="256"/>
      <c r="K41" s="256"/>
      <c r="L41" s="256"/>
      <c r="M41" s="256"/>
      <c r="N41" s="256"/>
      <c r="O41" s="256"/>
    </row>
    <row r="42" spans="1:15" s="28" customFormat="1" ht="24.75" thickBot="1">
      <c r="A42" s="524" t="s">
        <v>518</v>
      </c>
      <c r="B42" s="525" t="s">
        <v>529</v>
      </c>
      <c r="C42" s="234" t="s">
        <v>419</v>
      </c>
      <c r="D42" s="503" t="s">
        <v>510</v>
      </c>
      <c r="E42" s="504" t="s">
        <v>527</v>
      </c>
      <c r="F42" s="504" t="s">
        <v>528</v>
      </c>
      <c r="G42" s="389" t="s">
        <v>18</v>
      </c>
      <c r="H42" s="370"/>
      <c r="I42" s="524" t="s">
        <v>518</v>
      </c>
      <c r="J42" s="525" t="s">
        <v>529</v>
      </c>
      <c r="K42" s="234" t="s">
        <v>419</v>
      </c>
      <c r="L42" s="503" t="s">
        <v>510</v>
      </c>
      <c r="M42" s="504" t="s">
        <v>527</v>
      </c>
      <c r="N42" s="504" t="s">
        <v>528</v>
      </c>
      <c r="O42" s="389" t="s">
        <v>18</v>
      </c>
    </row>
    <row r="43" spans="1:15" ht="12">
      <c r="A43" s="235" t="s">
        <v>531</v>
      </c>
      <c r="B43" s="236"/>
      <c r="C43" s="237"/>
      <c r="D43" s="238"/>
      <c r="E43" s="239"/>
      <c r="F43" s="239"/>
      <c r="G43" s="240">
        <f aca="true" t="shared" si="12" ref="G43:G50">+B43+C43+D43+E43+F43</f>
        <v>0</v>
      </c>
      <c r="H43" s="209"/>
      <c r="I43" s="235" t="s">
        <v>531</v>
      </c>
      <c r="J43" s="236">
        <v>5351</v>
      </c>
      <c r="K43" s="237"/>
      <c r="L43" s="238"/>
      <c r="M43" s="239"/>
      <c r="N43" s="239"/>
      <c r="O43" s="240">
        <f aca="true" t="shared" si="13" ref="O43:O50">+J43+K43+L43+M43+N43</f>
        <v>5351</v>
      </c>
    </row>
    <row r="44" spans="1:15" ht="12">
      <c r="A44" s="257" t="s">
        <v>532</v>
      </c>
      <c r="B44" s="248"/>
      <c r="C44" s="249"/>
      <c r="D44" s="250"/>
      <c r="E44" s="251"/>
      <c r="F44" s="251"/>
      <c r="G44" s="252">
        <f t="shared" si="12"/>
        <v>0</v>
      </c>
      <c r="H44" s="209"/>
      <c r="I44" s="257" t="s">
        <v>532</v>
      </c>
      <c r="J44" s="248">
        <v>1396</v>
      </c>
      <c r="K44" s="249"/>
      <c r="L44" s="250"/>
      <c r="M44" s="251"/>
      <c r="N44" s="251"/>
      <c r="O44" s="252">
        <f t="shared" si="13"/>
        <v>1396</v>
      </c>
    </row>
    <row r="45" spans="1:15" ht="12">
      <c r="A45" s="247" t="s">
        <v>533</v>
      </c>
      <c r="B45" s="248"/>
      <c r="C45" s="249"/>
      <c r="D45" s="250"/>
      <c r="E45" s="251"/>
      <c r="F45" s="251"/>
      <c r="G45" s="252">
        <f t="shared" si="12"/>
        <v>0</v>
      </c>
      <c r="H45" s="209"/>
      <c r="I45" s="247" t="s">
        <v>533</v>
      </c>
      <c r="J45" s="248">
        <v>5218</v>
      </c>
      <c r="K45" s="249"/>
      <c r="L45" s="250"/>
      <c r="M45" s="251"/>
      <c r="N45" s="251"/>
      <c r="O45" s="252">
        <f t="shared" si="13"/>
        <v>5218</v>
      </c>
    </row>
    <row r="46" spans="1:15" ht="12">
      <c r="A46" s="247" t="s">
        <v>534</v>
      </c>
      <c r="B46" s="248"/>
      <c r="C46" s="249"/>
      <c r="D46" s="250"/>
      <c r="E46" s="251"/>
      <c r="F46" s="251"/>
      <c r="G46" s="252">
        <f t="shared" si="12"/>
        <v>0</v>
      </c>
      <c r="H46" s="209"/>
      <c r="I46" s="247" t="s">
        <v>534</v>
      </c>
      <c r="J46" s="248"/>
      <c r="K46" s="249"/>
      <c r="L46" s="250"/>
      <c r="M46" s="251"/>
      <c r="N46" s="251"/>
      <c r="O46" s="252">
        <f t="shared" si="13"/>
        <v>0</v>
      </c>
    </row>
    <row r="47" spans="1:15" ht="12">
      <c r="A47" s="258" t="s">
        <v>535</v>
      </c>
      <c r="B47" s="259"/>
      <c r="C47" s="249"/>
      <c r="D47" s="250"/>
      <c r="E47" s="251"/>
      <c r="F47" s="251"/>
      <c r="G47" s="252">
        <f t="shared" si="12"/>
        <v>0</v>
      </c>
      <c r="H47" s="209"/>
      <c r="I47" s="258" t="s">
        <v>535</v>
      </c>
      <c r="J47" s="259"/>
      <c r="K47" s="249"/>
      <c r="L47" s="250"/>
      <c r="M47" s="251"/>
      <c r="N47" s="251"/>
      <c r="O47" s="252">
        <f t="shared" si="13"/>
        <v>0</v>
      </c>
    </row>
    <row r="48" spans="1:15" ht="12">
      <c r="A48" s="258" t="s">
        <v>536</v>
      </c>
      <c r="B48" s="259">
        <v>2909</v>
      </c>
      <c r="C48" s="249"/>
      <c r="D48" s="250"/>
      <c r="E48" s="251"/>
      <c r="F48" s="251"/>
      <c r="G48" s="252">
        <f t="shared" si="12"/>
        <v>2909</v>
      </c>
      <c r="H48" s="209"/>
      <c r="I48" s="258" t="s">
        <v>536</v>
      </c>
      <c r="J48" s="259">
        <v>1604</v>
      </c>
      <c r="K48" s="249"/>
      <c r="L48" s="250"/>
      <c r="M48" s="251"/>
      <c r="N48" s="251"/>
      <c r="O48" s="252">
        <f t="shared" si="13"/>
        <v>1604</v>
      </c>
    </row>
    <row r="49" spans="1:15" ht="12">
      <c r="A49" s="260" t="s">
        <v>537</v>
      </c>
      <c r="B49" s="261"/>
      <c r="C49" s="262"/>
      <c r="D49" s="263"/>
      <c r="E49" s="264"/>
      <c r="F49" s="264"/>
      <c r="G49" s="252">
        <f t="shared" si="12"/>
        <v>0</v>
      </c>
      <c r="H49" s="209"/>
      <c r="I49" s="260" t="s">
        <v>537</v>
      </c>
      <c r="J49" s="261">
        <v>6231</v>
      </c>
      <c r="K49" s="262"/>
      <c r="L49" s="263"/>
      <c r="M49" s="264"/>
      <c r="N49" s="264"/>
      <c r="O49" s="252">
        <f t="shared" si="13"/>
        <v>6231</v>
      </c>
    </row>
    <row r="50" spans="1:15" ht="12.75" thickBot="1">
      <c r="A50" s="260" t="s">
        <v>538</v>
      </c>
      <c r="B50" s="261"/>
      <c r="C50" s="262"/>
      <c r="D50" s="263"/>
      <c r="E50" s="264"/>
      <c r="F50" s="264"/>
      <c r="G50" s="252">
        <f t="shared" si="12"/>
        <v>0</v>
      </c>
      <c r="H50" s="209"/>
      <c r="I50" s="260" t="s">
        <v>538</v>
      </c>
      <c r="J50" s="261"/>
      <c r="K50" s="262"/>
      <c r="L50" s="263"/>
      <c r="M50" s="264"/>
      <c r="N50" s="264"/>
      <c r="O50" s="252">
        <f t="shared" si="13"/>
        <v>0</v>
      </c>
    </row>
    <row r="51" spans="1:15" ht="12.75" thickBot="1">
      <c r="A51" s="226" t="s">
        <v>539</v>
      </c>
      <c r="B51" s="253">
        <f aca="true" t="shared" si="14" ref="B51:G51">+B43+B44+B45+B46+B47+B48+B49+B50</f>
        <v>2909</v>
      </c>
      <c r="C51" s="254">
        <f t="shared" si="14"/>
        <v>0</v>
      </c>
      <c r="D51" s="255">
        <f t="shared" si="14"/>
        <v>0</v>
      </c>
      <c r="E51" s="253">
        <f t="shared" si="14"/>
        <v>0</v>
      </c>
      <c r="F51" s="253">
        <f t="shared" si="14"/>
        <v>0</v>
      </c>
      <c r="G51" s="254">
        <f t="shared" si="14"/>
        <v>2909</v>
      </c>
      <c r="H51" s="209"/>
      <c r="I51" s="226" t="s">
        <v>539</v>
      </c>
      <c r="J51" s="253">
        <f aca="true" t="shared" si="15" ref="J51:O51">+J43+J44+J45+J46+J47+J48+J49+J50</f>
        <v>19800</v>
      </c>
      <c r="K51" s="254">
        <f t="shared" si="15"/>
        <v>0</v>
      </c>
      <c r="L51" s="255">
        <f t="shared" si="15"/>
        <v>0</v>
      </c>
      <c r="M51" s="253">
        <f t="shared" si="15"/>
        <v>0</v>
      </c>
      <c r="N51" s="253">
        <f t="shared" si="15"/>
        <v>0</v>
      </c>
      <c r="O51" s="254">
        <f t="shared" si="15"/>
        <v>19800</v>
      </c>
    </row>
    <row r="52" spans="1:15" ht="12">
      <c r="A52" s="227"/>
      <c r="B52" s="227"/>
      <c r="C52" s="227"/>
      <c r="D52" s="227"/>
      <c r="E52" s="227"/>
      <c r="F52" s="227"/>
      <c r="G52" s="227"/>
      <c r="H52" s="209"/>
      <c r="I52" s="227"/>
      <c r="J52" s="227"/>
      <c r="K52" s="227"/>
      <c r="L52" s="227"/>
      <c r="M52" s="227"/>
      <c r="N52" s="227"/>
      <c r="O52" s="227"/>
    </row>
    <row r="54" spans="1:15" s="230" customFormat="1" ht="15.75">
      <c r="A54" s="225" t="s">
        <v>522</v>
      </c>
      <c r="B54" s="1323" t="s">
        <v>1241</v>
      </c>
      <c r="C54" s="1323"/>
      <c r="D54" s="1323"/>
      <c r="E54" s="1323"/>
      <c r="F54" s="1323"/>
      <c r="G54" s="1323"/>
      <c r="H54" s="208"/>
      <c r="I54" s="225" t="s">
        <v>523</v>
      </c>
      <c r="J54" s="1323" t="s">
        <v>1236</v>
      </c>
      <c r="K54" s="1323"/>
      <c r="L54" s="1323"/>
      <c r="M54" s="1323"/>
      <c r="N54" s="1323"/>
      <c r="O54" s="1323"/>
    </row>
    <row r="55" spans="1:15" s="230" customFormat="1" ht="31.5" customHeight="1">
      <c r="A55" s="1250" t="s">
        <v>1242</v>
      </c>
      <c r="B55" s="1250"/>
      <c r="C55" s="1250"/>
      <c r="D55" s="1250"/>
      <c r="E55" s="1250"/>
      <c r="F55" s="1250"/>
      <c r="G55" s="1250"/>
      <c r="H55" s="208"/>
      <c r="I55" s="1322" t="s">
        <v>1237</v>
      </c>
      <c r="J55" s="1322"/>
      <c r="K55" s="1322"/>
      <c r="L55" s="1322"/>
      <c r="M55" s="1322"/>
      <c r="N55" s="1322"/>
      <c r="O55" s="1322"/>
    </row>
    <row r="56" spans="1:15" s="230" customFormat="1" ht="15.75">
      <c r="A56" s="1322" t="s">
        <v>1239</v>
      </c>
      <c r="B56" s="1322"/>
      <c r="C56" s="1322"/>
      <c r="D56" s="1322"/>
      <c r="E56" s="1322"/>
      <c r="F56" s="1322"/>
      <c r="G56" s="1322"/>
      <c r="H56" s="208"/>
      <c r="I56" s="1322" t="s">
        <v>1238</v>
      </c>
      <c r="J56" s="1322"/>
      <c r="K56" s="1322"/>
      <c r="L56" s="1322"/>
      <c r="M56" s="1322"/>
      <c r="N56" s="1322"/>
      <c r="O56" s="1322"/>
    </row>
    <row r="57" spans="1:15" s="27" customFormat="1" ht="12.75" thickBot="1">
      <c r="A57" s="233"/>
      <c r="B57" s="233"/>
      <c r="C57" s="233"/>
      <c r="D57" s="233"/>
      <c r="E57" s="233"/>
      <c r="G57" s="288" t="s">
        <v>319</v>
      </c>
      <c r="H57" s="233"/>
      <c r="I57" s="233"/>
      <c r="J57" s="233"/>
      <c r="K57" s="233"/>
      <c r="L57" s="233"/>
      <c r="M57" s="233"/>
      <c r="O57" s="288" t="s">
        <v>319</v>
      </c>
    </row>
    <row r="58" spans="1:15" s="28" customFormat="1" ht="24.75" thickBot="1">
      <c r="A58" s="524" t="s">
        <v>509</v>
      </c>
      <c r="B58" s="525" t="s">
        <v>529</v>
      </c>
      <c r="C58" s="234" t="s">
        <v>419</v>
      </c>
      <c r="D58" s="503" t="s">
        <v>510</v>
      </c>
      <c r="E58" s="504" t="s">
        <v>527</v>
      </c>
      <c r="F58" s="504" t="s">
        <v>528</v>
      </c>
      <c r="G58" s="389" t="s">
        <v>18</v>
      </c>
      <c r="H58" s="370"/>
      <c r="I58" s="524" t="s">
        <v>509</v>
      </c>
      <c r="J58" s="525" t="s">
        <v>529</v>
      </c>
      <c r="K58" s="234" t="s">
        <v>419</v>
      </c>
      <c r="L58" s="503" t="s">
        <v>510</v>
      </c>
      <c r="M58" s="504" t="s">
        <v>527</v>
      </c>
      <c r="N58" s="504" t="s">
        <v>528</v>
      </c>
      <c r="O58" s="389" t="s">
        <v>18</v>
      </c>
    </row>
    <row r="59" spans="1:15" ht="12">
      <c r="A59" s="235" t="s">
        <v>511</v>
      </c>
      <c r="B59" s="236">
        <f aca="true" t="shared" si="16" ref="B59:G59">+B76-B64-B63-B62-B61</f>
        <v>-5375</v>
      </c>
      <c r="C59" s="237">
        <f t="shared" si="16"/>
        <v>0</v>
      </c>
      <c r="D59" s="238">
        <f t="shared" si="16"/>
        <v>0</v>
      </c>
      <c r="E59" s="239">
        <f t="shared" si="16"/>
        <v>0</v>
      </c>
      <c r="F59" s="239">
        <f t="shared" si="16"/>
        <v>0</v>
      </c>
      <c r="G59" s="240">
        <f t="shared" si="16"/>
        <v>-5375</v>
      </c>
      <c r="H59" s="209"/>
      <c r="I59" s="235" t="s">
        <v>511</v>
      </c>
      <c r="J59" s="236">
        <f aca="true" t="shared" si="17" ref="J59:O59">+J76-J64-J63-J62-J61</f>
        <v>0</v>
      </c>
      <c r="K59" s="237">
        <f t="shared" si="17"/>
        <v>0</v>
      </c>
      <c r="L59" s="238">
        <f t="shared" si="17"/>
        <v>0</v>
      </c>
      <c r="M59" s="239">
        <f t="shared" si="17"/>
        <v>0</v>
      </c>
      <c r="N59" s="239">
        <f t="shared" si="17"/>
        <v>0</v>
      </c>
      <c r="O59" s="240">
        <f t="shared" si="17"/>
        <v>0</v>
      </c>
    </row>
    <row r="60" spans="1:15" ht="12">
      <c r="A60" s="241" t="s">
        <v>512</v>
      </c>
      <c r="B60" s="242"/>
      <c r="C60" s="243"/>
      <c r="D60" s="244"/>
      <c r="E60" s="245"/>
      <c r="F60" s="245"/>
      <c r="G60" s="246">
        <f>+B60+C60+D60+E60+F60</f>
        <v>0</v>
      </c>
      <c r="H60" s="209"/>
      <c r="I60" s="241" t="s">
        <v>512</v>
      </c>
      <c r="J60" s="242"/>
      <c r="K60" s="243"/>
      <c r="L60" s="244"/>
      <c r="M60" s="245"/>
      <c r="N60" s="245"/>
      <c r="O60" s="246">
        <f>+J60+K60+L60+M60+N60</f>
        <v>0</v>
      </c>
    </row>
    <row r="61" spans="1:15" ht="12">
      <c r="A61" s="247" t="s">
        <v>513</v>
      </c>
      <c r="B61" s="248">
        <v>5375</v>
      </c>
      <c r="C61" s="249"/>
      <c r="D61" s="250"/>
      <c r="E61" s="251"/>
      <c r="F61" s="251"/>
      <c r="G61" s="252">
        <f>+B61+C61+D61+E61+F61</f>
        <v>5375</v>
      </c>
      <c r="H61" s="209"/>
      <c r="I61" s="247" t="s">
        <v>513</v>
      </c>
      <c r="J61" s="248"/>
      <c r="K61" s="249"/>
      <c r="L61" s="250"/>
      <c r="M61" s="251"/>
      <c r="N61" s="251"/>
      <c r="O61" s="252">
        <f>+J61+K61+L61+M61+N61</f>
        <v>0</v>
      </c>
    </row>
    <row r="62" spans="1:15" ht="12">
      <c r="A62" s="247" t="s">
        <v>514</v>
      </c>
      <c r="B62" s="248"/>
      <c r="C62" s="249"/>
      <c r="D62" s="250"/>
      <c r="E62" s="251"/>
      <c r="F62" s="251"/>
      <c r="G62" s="252">
        <f>+B62+C62+D62+E62+F62</f>
        <v>0</v>
      </c>
      <c r="H62" s="209"/>
      <c r="I62" s="247" t="s">
        <v>514</v>
      </c>
      <c r="J62" s="248"/>
      <c r="K62" s="249"/>
      <c r="L62" s="250"/>
      <c r="M62" s="251"/>
      <c r="N62" s="251"/>
      <c r="O62" s="252">
        <f>+J62+K62+L62+M62+N62</f>
        <v>0</v>
      </c>
    </row>
    <row r="63" spans="1:15" ht="12">
      <c r="A63" s="247" t="s">
        <v>515</v>
      </c>
      <c r="B63" s="248"/>
      <c r="C63" s="249"/>
      <c r="D63" s="250"/>
      <c r="E63" s="251"/>
      <c r="F63" s="251"/>
      <c r="G63" s="252">
        <f>+B63+C63+D63+E63+F63</f>
        <v>0</v>
      </c>
      <c r="H63" s="209"/>
      <c r="I63" s="247" t="s">
        <v>515</v>
      </c>
      <c r="J63" s="248"/>
      <c r="K63" s="249"/>
      <c r="L63" s="250"/>
      <c r="M63" s="251"/>
      <c r="N63" s="251"/>
      <c r="O63" s="252">
        <f>+J63+K63+L63+M63+N63</f>
        <v>0</v>
      </c>
    </row>
    <row r="64" spans="1:15" ht="12.75" thickBot="1">
      <c r="A64" s="247" t="s">
        <v>516</v>
      </c>
      <c r="B64" s="248"/>
      <c r="C64" s="249"/>
      <c r="D64" s="250"/>
      <c r="E64" s="251"/>
      <c r="F64" s="251"/>
      <c r="G64" s="252">
        <f>+B64+C64+D64+E64+F64</f>
        <v>0</v>
      </c>
      <c r="H64" s="209"/>
      <c r="I64" s="247" t="s">
        <v>516</v>
      </c>
      <c r="J64" s="248"/>
      <c r="K64" s="249"/>
      <c r="L64" s="250"/>
      <c r="M64" s="251"/>
      <c r="N64" s="251"/>
      <c r="O64" s="252">
        <f>+J64+K64+L64+M64+N64</f>
        <v>0</v>
      </c>
    </row>
    <row r="65" spans="1:15" ht="12.75" thickBot="1">
      <c r="A65" s="226" t="s">
        <v>517</v>
      </c>
      <c r="B65" s="253">
        <f aca="true" t="shared" si="18" ref="B65:G65">+B59+B61+B62+B63+B64</f>
        <v>0</v>
      </c>
      <c r="C65" s="254">
        <f t="shared" si="18"/>
        <v>0</v>
      </c>
      <c r="D65" s="255">
        <f t="shared" si="18"/>
        <v>0</v>
      </c>
      <c r="E65" s="253">
        <f t="shared" si="18"/>
        <v>0</v>
      </c>
      <c r="F65" s="253">
        <f t="shared" si="18"/>
        <v>0</v>
      </c>
      <c r="G65" s="254">
        <f t="shared" si="18"/>
        <v>0</v>
      </c>
      <c r="H65" s="209"/>
      <c r="I65" s="226" t="s">
        <v>517</v>
      </c>
      <c r="J65" s="253">
        <f aca="true" t="shared" si="19" ref="J65:O65">+J59+J61+J62+J63+J64</f>
        <v>0</v>
      </c>
      <c r="K65" s="254">
        <f t="shared" si="19"/>
        <v>0</v>
      </c>
      <c r="L65" s="255">
        <f t="shared" si="19"/>
        <v>0</v>
      </c>
      <c r="M65" s="253">
        <f t="shared" si="19"/>
        <v>0</v>
      </c>
      <c r="N65" s="253">
        <f t="shared" si="19"/>
        <v>0</v>
      </c>
      <c r="O65" s="254">
        <f t="shared" si="19"/>
        <v>0</v>
      </c>
    </row>
    <row r="66" spans="1:15" ht="12.75" thickBot="1">
      <c r="A66" s="256"/>
      <c r="B66" s="256"/>
      <c r="C66" s="256"/>
      <c r="D66" s="256"/>
      <c r="E66" s="256"/>
      <c r="F66" s="256"/>
      <c r="G66" s="256"/>
      <c r="H66" s="209"/>
      <c r="I66" s="256"/>
      <c r="J66" s="256"/>
      <c r="K66" s="256"/>
      <c r="L66" s="256"/>
      <c r="M66" s="256"/>
      <c r="N66" s="256"/>
      <c r="O66" s="256"/>
    </row>
    <row r="67" spans="1:15" s="28" customFormat="1" ht="24.75" thickBot="1">
      <c r="A67" s="524" t="s">
        <v>518</v>
      </c>
      <c r="B67" s="525" t="s">
        <v>529</v>
      </c>
      <c r="C67" s="234" t="s">
        <v>419</v>
      </c>
      <c r="D67" s="503" t="s">
        <v>510</v>
      </c>
      <c r="E67" s="504" t="s">
        <v>527</v>
      </c>
      <c r="F67" s="504" t="s">
        <v>528</v>
      </c>
      <c r="G67" s="389" t="s">
        <v>18</v>
      </c>
      <c r="H67" s="370"/>
      <c r="I67" s="524" t="s">
        <v>518</v>
      </c>
      <c r="J67" s="525" t="s">
        <v>529</v>
      </c>
      <c r="K67" s="234" t="s">
        <v>419</v>
      </c>
      <c r="L67" s="503" t="s">
        <v>510</v>
      </c>
      <c r="M67" s="504" t="s">
        <v>527</v>
      </c>
      <c r="N67" s="504" t="s">
        <v>528</v>
      </c>
      <c r="O67" s="389" t="s">
        <v>18</v>
      </c>
    </row>
    <row r="68" spans="1:15" ht="12">
      <c r="A68" s="235" t="s">
        <v>531</v>
      </c>
      <c r="B68" s="236"/>
      <c r="C68" s="237"/>
      <c r="D68" s="238"/>
      <c r="E68" s="239"/>
      <c r="F68" s="239"/>
      <c r="G68" s="240">
        <f aca="true" t="shared" si="20" ref="G68:G75">+B68+C68+D68+E68+F68</f>
        <v>0</v>
      </c>
      <c r="H68" s="209"/>
      <c r="I68" s="235" t="s">
        <v>531</v>
      </c>
      <c r="J68" s="236"/>
      <c r="K68" s="237"/>
      <c r="L68" s="238"/>
      <c r="M68" s="239"/>
      <c r="N68" s="239"/>
      <c r="O68" s="240">
        <f aca="true" t="shared" si="21" ref="O68:O75">+J68+K68+L68+M68+N68</f>
        <v>0</v>
      </c>
    </row>
    <row r="69" spans="1:15" ht="12">
      <c r="A69" s="257" t="s">
        <v>532</v>
      </c>
      <c r="B69" s="248"/>
      <c r="C69" s="249"/>
      <c r="D69" s="250"/>
      <c r="E69" s="251"/>
      <c r="F69" s="251"/>
      <c r="G69" s="252">
        <f t="shared" si="20"/>
        <v>0</v>
      </c>
      <c r="H69" s="209"/>
      <c r="I69" s="257" t="s">
        <v>532</v>
      </c>
      <c r="J69" s="248"/>
      <c r="K69" s="249"/>
      <c r="L69" s="250"/>
      <c r="M69" s="251"/>
      <c r="N69" s="251"/>
      <c r="O69" s="252">
        <f t="shared" si="21"/>
        <v>0</v>
      </c>
    </row>
    <row r="70" spans="1:15" ht="12">
      <c r="A70" s="247" t="s">
        <v>533</v>
      </c>
      <c r="B70" s="248"/>
      <c r="C70" s="249"/>
      <c r="D70" s="250"/>
      <c r="E70" s="251"/>
      <c r="F70" s="251"/>
      <c r="G70" s="252">
        <f t="shared" si="20"/>
        <v>0</v>
      </c>
      <c r="H70" s="209"/>
      <c r="I70" s="247" t="s">
        <v>533</v>
      </c>
      <c r="J70" s="248"/>
      <c r="K70" s="249"/>
      <c r="L70" s="250"/>
      <c r="M70" s="251"/>
      <c r="N70" s="251"/>
      <c r="O70" s="252">
        <f t="shared" si="21"/>
        <v>0</v>
      </c>
    </row>
    <row r="71" spans="1:15" ht="12">
      <c r="A71" s="247" t="s">
        <v>534</v>
      </c>
      <c r="B71" s="248"/>
      <c r="C71" s="249"/>
      <c r="D71" s="250"/>
      <c r="E71" s="251"/>
      <c r="F71" s="251"/>
      <c r="G71" s="252">
        <f t="shared" si="20"/>
        <v>0</v>
      </c>
      <c r="H71" s="209"/>
      <c r="I71" s="247" t="s">
        <v>534</v>
      </c>
      <c r="J71" s="248"/>
      <c r="K71" s="249"/>
      <c r="L71" s="250"/>
      <c r="M71" s="251"/>
      <c r="N71" s="251"/>
      <c r="O71" s="252">
        <f t="shared" si="21"/>
        <v>0</v>
      </c>
    </row>
    <row r="72" spans="1:15" ht="12">
      <c r="A72" s="258" t="s">
        <v>535</v>
      </c>
      <c r="B72" s="259"/>
      <c r="C72" s="249"/>
      <c r="D72" s="250"/>
      <c r="E72" s="251"/>
      <c r="F72" s="251"/>
      <c r="G72" s="252">
        <f t="shared" si="20"/>
        <v>0</v>
      </c>
      <c r="H72" s="209"/>
      <c r="I72" s="258" t="s">
        <v>535</v>
      </c>
      <c r="J72" s="259"/>
      <c r="K72" s="249"/>
      <c r="L72" s="250"/>
      <c r="M72" s="251"/>
      <c r="N72" s="251"/>
      <c r="O72" s="252">
        <f t="shared" si="21"/>
        <v>0</v>
      </c>
    </row>
    <row r="73" spans="1:15" ht="12">
      <c r="A73" s="258" t="s">
        <v>536</v>
      </c>
      <c r="B73" s="259"/>
      <c r="C73" s="249"/>
      <c r="D73" s="250"/>
      <c r="E73" s="251"/>
      <c r="F73" s="251"/>
      <c r="G73" s="252">
        <f t="shared" si="20"/>
        <v>0</v>
      </c>
      <c r="H73" s="209"/>
      <c r="I73" s="258" t="s">
        <v>536</v>
      </c>
      <c r="J73" s="259"/>
      <c r="K73" s="249"/>
      <c r="L73" s="250"/>
      <c r="M73" s="251"/>
      <c r="N73" s="251"/>
      <c r="O73" s="252">
        <f t="shared" si="21"/>
        <v>0</v>
      </c>
    </row>
    <row r="74" spans="1:15" ht="12">
      <c r="A74" s="260" t="s">
        <v>537</v>
      </c>
      <c r="B74" s="261"/>
      <c r="C74" s="262"/>
      <c r="D74" s="263"/>
      <c r="E74" s="264"/>
      <c r="F74" s="264"/>
      <c r="G74" s="252">
        <f t="shared" si="20"/>
        <v>0</v>
      </c>
      <c r="H74" s="209"/>
      <c r="I74" s="260" t="s">
        <v>537</v>
      </c>
      <c r="J74" s="261"/>
      <c r="K74" s="262"/>
      <c r="L74" s="263"/>
      <c r="M74" s="264"/>
      <c r="N74" s="264"/>
      <c r="O74" s="252">
        <f t="shared" si="21"/>
        <v>0</v>
      </c>
    </row>
    <row r="75" spans="1:15" ht="12.75" thickBot="1">
      <c r="A75" s="260" t="s">
        <v>538</v>
      </c>
      <c r="B75" s="261"/>
      <c r="C75" s="262"/>
      <c r="D75" s="263"/>
      <c r="E75" s="264"/>
      <c r="F75" s="264"/>
      <c r="G75" s="252">
        <f t="shared" si="20"/>
        <v>0</v>
      </c>
      <c r="H75" s="209"/>
      <c r="I75" s="260" t="s">
        <v>538</v>
      </c>
      <c r="J75" s="261"/>
      <c r="K75" s="262"/>
      <c r="L75" s="263"/>
      <c r="M75" s="264"/>
      <c r="N75" s="264"/>
      <c r="O75" s="252">
        <f t="shared" si="21"/>
        <v>0</v>
      </c>
    </row>
    <row r="76" spans="1:15" ht="12.75" thickBot="1">
      <c r="A76" s="226" t="s">
        <v>539</v>
      </c>
      <c r="B76" s="253">
        <f aca="true" t="shared" si="22" ref="B76:G76">+B68+B69+B70+B71+B72+B73+B74+B75</f>
        <v>0</v>
      </c>
      <c r="C76" s="254">
        <f t="shared" si="22"/>
        <v>0</v>
      </c>
      <c r="D76" s="255">
        <f t="shared" si="22"/>
        <v>0</v>
      </c>
      <c r="E76" s="253">
        <f t="shared" si="22"/>
        <v>0</v>
      </c>
      <c r="F76" s="253">
        <f t="shared" si="22"/>
        <v>0</v>
      </c>
      <c r="G76" s="254">
        <f t="shared" si="22"/>
        <v>0</v>
      </c>
      <c r="H76" s="209"/>
      <c r="I76" s="226" t="s">
        <v>539</v>
      </c>
      <c r="J76" s="253">
        <f aca="true" t="shared" si="23" ref="J76:O76">+J68+J69+J70+J71+J72+J73+J74+J75</f>
        <v>0</v>
      </c>
      <c r="K76" s="254">
        <f t="shared" si="23"/>
        <v>0</v>
      </c>
      <c r="L76" s="255">
        <f t="shared" si="23"/>
        <v>0</v>
      </c>
      <c r="M76" s="253">
        <f t="shared" si="23"/>
        <v>0</v>
      </c>
      <c r="N76" s="253">
        <f t="shared" si="23"/>
        <v>0</v>
      </c>
      <c r="O76" s="254">
        <f t="shared" si="23"/>
        <v>0</v>
      </c>
    </row>
    <row r="77" spans="1:15" ht="12">
      <c r="A77" s="227"/>
      <c r="B77" s="227"/>
      <c r="C77" s="227"/>
      <c r="D77" s="227"/>
      <c r="E77" s="227"/>
      <c r="F77" s="227"/>
      <c r="G77" s="227"/>
      <c r="H77" s="209"/>
      <c r="I77" s="227"/>
      <c r="J77" s="227"/>
      <c r="K77" s="227"/>
      <c r="L77" s="227"/>
      <c r="M77" s="227"/>
      <c r="N77" s="227"/>
      <c r="O77" s="227"/>
    </row>
    <row r="79" spans="1:15" s="230" customFormat="1" ht="15.75">
      <c r="A79" s="225" t="s">
        <v>524</v>
      </c>
      <c r="B79" s="1323" t="s">
        <v>1232</v>
      </c>
      <c r="C79" s="1323"/>
      <c r="D79" s="1323"/>
      <c r="E79" s="1323"/>
      <c r="F79" s="1323"/>
      <c r="G79" s="1323"/>
      <c r="H79" s="208"/>
      <c r="I79" s="225" t="s">
        <v>525</v>
      </c>
      <c r="J79" s="1323" t="s">
        <v>38</v>
      </c>
      <c r="K79" s="1323"/>
      <c r="L79" s="1323"/>
      <c r="M79" s="1323"/>
      <c r="N79" s="1323"/>
      <c r="O79" s="1323"/>
    </row>
    <row r="80" spans="1:15" s="230" customFormat="1" ht="15.75">
      <c r="A80" s="1250" t="s">
        <v>1233</v>
      </c>
      <c r="B80" s="1250"/>
      <c r="C80" s="1250"/>
      <c r="D80" s="1250"/>
      <c r="E80" s="1250"/>
      <c r="F80" s="1250"/>
      <c r="G80" s="1250"/>
      <c r="H80" s="208"/>
      <c r="I80" s="1250" t="s">
        <v>38</v>
      </c>
      <c r="J80" s="1250"/>
      <c r="K80" s="1250"/>
      <c r="L80" s="1250"/>
      <c r="M80" s="1250"/>
      <c r="N80" s="1250"/>
      <c r="O80" s="1250"/>
    </row>
    <row r="81" spans="1:15" s="230" customFormat="1" ht="15.75">
      <c r="A81" s="1322" t="s">
        <v>1238</v>
      </c>
      <c r="B81" s="1322"/>
      <c r="C81" s="1322"/>
      <c r="D81" s="1322"/>
      <c r="E81" s="1322"/>
      <c r="F81" s="1322"/>
      <c r="G81" s="1322"/>
      <c r="H81" s="208"/>
      <c r="I81" s="1322"/>
      <c r="J81" s="1322"/>
      <c r="K81" s="1322"/>
      <c r="L81" s="1322"/>
      <c r="M81" s="1322"/>
      <c r="N81" s="1322"/>
      <c r="O81" s="1322"/>
    </row>
    <row r="82" spans="1:15" s="27" customFormat="1" ht="12.75" thickBot="1">
      <c r="A82" s="233"/>
      <c r="B82" s="233"/>
      <c r="C82" s="233"/>
      <c r="D82" s="233"/>
      <c r="E82" s="233"/>
      <c r="G82" s="288" t="s">
        <v>319</v>
      </c>
      <c r="H82" s="233"/>
      <c r="I82" s="233"/>
      <c r="J82" s="233"/>
      <c r="K82" s="233"/>
      <c r="L82" s="233"/>
      <c r="M82" s="233"/>
      <c r="O82" s="288" t="s">
        <v>319</v>
      </c>
    </row>
    <row r="83" spans="1:15" s="28" customFormat="1" ht="24.75" thickBot="1">
      <c r="A83" s="524" t="s">
        <v>509</v>
      </c>
      <c r="B83" s="525" t="s">
        <v>529</v>
      </c>
      <c r="C83" s="234" t="s">
        <v>419</v>
      </c>
      <c r="D83" s="503" t="s">
        <v>510</v>
      </c>
      <c r="E83" s="504" t="s">
        <v>527</v>
      </c>
      <c r="F83" s="504" t="s">
        <v>528</v>
      </c>
      <c r="G83" s="389" t="s">
        <v>18</v>
      </c>
      <c r="H83" s="370"/>
      <c r="I83" s="524" t="s">
        <v>509</v>
      </c>
      <c r="J83" s="525" t="s">
        <v>529</v>
      </c>
      <c r="K83" s="234" t="s">
        <v>419</v>
      </c>
      <c r="L83" s="503" t="s">
        <v>510</v>
      </c>
      <c r="M83" s="504" t="s">
        <v>527</v>
      </c>
      <c r="N83" s="504" t="s">
        <v>528</v>
      </c>
      <c r="O83" s="389" t="s">
        <v>18</v>
      </c>
    </row>
    <row r="84" spans="1:17" ht="12">
      <c r="A84" s="235" t="s">
        <v>511</v>
      </c>
      <c r="B84" s="236">
        <f aca="true" t="shared" si="24" ref="B84:G84">+B101-B89-B88-B87-B86</f>
        <v>0</v>
      </c>
      <c r="C84" s="237">
        <f t="shared" si="24"/>
        <v>0</v>
      </c>
      <c r="D84" s="238">
        <f t="shared" si="24"/>
        <v>0</v>
      </c>
      <c r="E84" s="239">
        <f t="shared" si="24"/>
        <v>0</v>
      </c>
      <c r="F84" s="239">
        <f t="shared" si="24"/>
        <v>0</v>
      </c>
      <c r="G84" s="240">
        <f t="shared" si="24"/>
        <v>0</v>
      </c>
      <c r="H84" s="209"/>
      <c r="I84" s="235" t="s">
        <v>511</v>
      </c>
      <c r="J84" s="236">
        <f aca="true" t="shared" si="25" ref="J84:O84">+J101-J89-J88-J87-J86</f>
        <v>0</v>
      </c>
      <c r="K84" s="237">
        <f t="shared" si="25"/>
        <v>0</v>
      </c>
      <c r="L84" s="238">
        <f t="shared" si="25"/>
        <v>0</v>
      </c>
      <c r="M84" s="239">
        <f t="shared" si="25"/>
        <v>0</v>
      </c>
      <c r="N84" s="239">
        <f t="shared" si="25"/>
        <v>0</v>
      </c>
      <c r="O84" s="240">
        <f t="shared" si="25"/>
        <v>0</v>
      </c>
      <c r="Q84" s="30">
        <f aca="true" t="shared" si="26" ref="Q84:Q89">+C9+C34+C59+C84+K9+K34+K59+K84</f>
        <v>51683</v>
      </c>
    </row>
    <row r="85" spans="1:17" ht="12">
      <c r="A85" s="241" t="s">
        <v>512</v>
      </c>
      <c r="B85" s="242"/>
      <c r="C85" s="243"/>
      <c r="D85" s="244"/>
      <c r="E85" s="245"/>
      <c r="F85" s="245"/>
      <c r="G85" s="246">
        <f>+B85+C85+D85+E85+F85</f>
        <v>0</v>
      </c>
      <c r="H85" s="209"/>
      <c r="I85" s="241" t="s">
        <v>512</v>
      </c>
      <c r="J85" s="242"/>
      <c r="K85" s="243"/>
      <c r="L85" s="244"/>
      <c r="M85" s="245"/>
      <c r="N85" s="245"/>
      <c r="O85" s="246">
        <f>+J85+K85+L85+M85+N85</f>
        <v>0</v>
      </c>
      <c r="Q85" s="30">
        <f t="shared" si="26"/>
        <v>0</v>
      </c>
    </row>
    <row r="86" spans="1:20" ht="12">
      <c r="A86" s="247" t="s">
        <v>513</v>
      </c>
      <c r="B86" s="248"/>
      <c r="C86" s="249"/>
      <c r="D86" s="250"/>
      <c r="E86" s="251"/>
      <c r="F86" s="251"/>
      <c r="G86" s="252">
        <f>+B86+C86+D86+E86+F86</f>
        <v>0</v>
      </c>
      <c r="H86" s="209"/>
      <c r="I86" s="247" t="s">
        <v>513</v>
      </c>
      <c r="J86" s="248"/>
      <c r="K86" s="249"/>
      <c r="L86" s="250"/>
      <c r="M86" s="251"/>
      <c r="N86" s="251"/>
      <c r="O86" s="252">
        <f>+J86+K86+L86+M86+N86</f>
        <v>0</v>
      </c>
      <c r="Q86" s="30">
        <f t="shared" si="26"/>
        <v>12356</v>
      </c>
      <c r="R86" s="698">
        <f>-C109</f>
        <v>11000</v>
      </c>
      <c r="S86" s="30">
        <f>+'1.mell._Össz_Mérleg2014'!C24+'1.mell._Össz_Mérleg2014'!C54</f>
        <v>23356</v>
      </c>
      <c r="T86" s="30">
        <f>+S86-Q86-R86</f>
        <v>0</v>
      </c>
    </row>
    <row r="87" spans="1:17" ht="12">
      <c r="A87" s="247" t="s">
        <v>514</v>
      </c>
      <c r="B87" s="248"/>
      <c r="C87" s="249"/>
      <c r="D87" s="250"/>
      <c r="E87" s="251"/>
      <c r="F87" s="251"/>
      <c r="G87" s="252">
        <f>+B87+C87+D87+E87+F87</f>
        <v>0</v>
      </c>
      <c r="H87" s="209"/>
      <c r="I87" s="247" t="s">
        <v>514</v>
      </c>
      <c r="J87" s="248"/>
      <c r="K87" s="249"/>
      <c r="L87" s="250"/>
      <c r="M87" s="251"/>
      <c r="N87" s="251"/>
      <c r="O87" s="252">
        <f>+J87+K87+L87+M87+N87</f>
        <v>0</v>
      </c>
      <c r="Q87" s="30">
        <f t="shared" si="26"/>
        <v>0</v>
      </c>
    </row>
    <row r="88" spans="1:17" ht="12">
      <c r="A88" s="247" t="s">
        <v>515</v>
      </c>
      <c r="B88" s="248"/>
      <c r="C88" s="249"/>
      <c r="D88" s="250"/>
      <c r="E88" s="251"/>
      <c r="F88" s="251"/>
      <c r="G88" s="252">
        <f>+B88+C88+D88+E88+F88</f>
        <v>0</v>
      </c>
      <c r="H88" s="209"/>
      <c r="I88" s="247" t="s">
        <v>515</v>
      </c>
      <c r="J88" s="248"/>
      <c r="K88" s="249"/>
      <c r="L88" s="250"/>
      <c r="M88" s="251"/>
      <c r="N88" s="251"/>
      <c r="O88" s="252">
        <f>+J88+K88+L88+M88+N88</f>
        <v>0</v>
      </c>
      <c r="Q88" s="30">
        <f t="shared" si="26"/>
        <v>0</v>
      </c>
    </row>
    <row r="89" spans="1:17" ht="12.75" thickBot="1">
      <c r="A89" s="247" t="s">
        <v>516</v>
      </c>
      <c r="B89" s="248"/>
      <c r="C89" s="249"/>
      <c r="D89" s="250"/>
      <c r="E89" s="251"/>
      <c r="F89" s="251"/>
      <c r="G89" s="252">
        <f>+B89+C89+D89+E89+F89</f>
        <v>0</v>
      </c>
      <c r="H89" s="209"/>
      <c r="I89" s="247" t="s">
        <v>516</v>
      </c>
      <c r="J89" s="248"/>
      <c r="K89" s="249"/>
      <c r="L89" s="250"/>
      <c r="M89" s="251"/>
      <c r="N89" s="251"/>
      <c r="O89" s="252">
        <f>+J89+K89+L89+M89+N89</f>
        <v>0</v>
      </c>
      <c r="Q89" s="30">
        <f t="shared" si="26"/>
        <v>0</v>
      </c>
    </row>
    <row r="90" spans="1:15" ht="12.75" thickBot="1">
      <c r="A90" s="226" t="s">
        <v>517</v>
      </c>
      <c r="B90" s="253">
        <f aca="true" t="shared" si="27" ref="B90:G90">+B84+B86+B87+B88+B89</f>
        <v>0</v>
      </c>
      <c r="C90" s="254">
        <f t="shared" si="27"/>
        <v>0</v>
      </c>
      <c r="D90" s="255">
        <f t="shared" si="27"/>
        <v>0</v>
      </c>
      <c r="E90" s="253">
        <f t="shared" si="27"/>
        <v>0</v>
      </c>
      <c r="F90" s="253">
        <f t="shared" si="27"/>
        <v>0</v>
      </c>
      <c r="G90" s="254">
        <f t="shared" si="27"/>
        <v>0</v>
      </c>
      <c r="H90" s="209"/>
      <c r="I90" s="226" t="s">
        <v>517</v>
      </c>
      <c r="J90" s="253">
        <f aca="true" t="shared" si="28" ref="J90:O90">+J84+J86+J87+J88+J89</f>
        <v>0</v>
      </c>
      <c r="K90" s="254">
        <f t="shared" si="28"/>
        <v>0</v>
      </c>
      <c r="L90" s="255">
        <f t="shared" si="28"/>
        <v>0</v>
      </c>
      <c r="M90" s="253">
        <f t="shared" si="28"/>
        <v>0</v>
      </c>
      <c r="N90" s="253">
        <f t="shared" si="28"/>
        <v>0</v>
      </c>
      <c r="O90" s="254">
        <f t="shared" si="28"/>
        <v>0</v>
      </c>
    </row>
    <row r="91" spans="1:15" ht="12.75" thickBot="1">
      <c r="A91" s="256"/>
      <c r="B91" s="256"/>
      <c r="C91" s="256"/>
      <c r="D91" s="256"/>
      <c r="E91" s="256"/>
      <c r="F91" s="256"/>
      <c r="G91" s="256"/>
      <c r="H91" s="209"/>
      <c r="I91" s="256"/>
      <c r="J91" s="256"/>
      <c r="K91" s="256"/>
      <c r="L91" s="256"/>
      <c r="M91" s="256"/>
      <c r="N91" s="256"/>
      <c r="O91" s="256"/>
    </row>
    <row r="92" spans="1:15" s="28" customFormat="1" ht="24.75" thickBot="1">
      <c r="A92" s="524" t="s">
        <v>518</v>
      </c>
      <c r="B92" s="525" t="s">
        <v>529</v>
      </c>
      <c r="C92" s="234" t="s">
        <v>419</v>
      </c>
      <c r="D92" s="503" t="s">
        <v>510</v>
      </c>
      <c r="E92" s="504" t="s">
        <v>527</v>
      </c>
      <c r="F92" s="504" t="s">
        <v>528</v>
      </c>
      <c r="G92" s="389" t="s">
        <v>18</v>
      </c>
      <c r="H92" s="370"/>
      <c r="I92" s="524" t="s">
        <v>518</v>
      </c>
      <c r="J92" s="525" t="s">
        <v>529</v>
      </c>
      <c r="K92" s="234" t="s">
        <v>419</v>
      </c>
      <c r="L92" s="503" t="s">
        <v>510</v>
      </c>
      <c r="M92" s="504" t="s">
        <v>527</v>
      </c>
      <c r="N92" s="504" t="s">
        <v>528</v>
      </c>
      <c r="O92" s="389" t="s">
        <v>18</v>
      </c>
    </row>
    <row r="93" spans="1:19" ht="12">
      <c r="A93" s="235" t="s">
        <v>531</v>
      </c>
      <c r="B93" s="236"/>
      <c r="C93" s="237"/>
      <c r="D93" s="238"/>
      <c r="E93" s="239"/>
      <c r="F93" s="239"/>
      <c r="G93" s="240">
        <f aca="true" t="shared" si="29" ref="G93:G100">+B93+C93+D93+E93+F93</f>
        <v>0</v>
      </c>
      <c r="H93" s="209"/>
      <c r="I93" s="235" t="s">
        <v>531</v>
      </c>
      <c r="J93" s="236"/>
      <c r="K93" s="237"/>
      <c r="L93" s="238"/>
      <c r="M93" s="239"/>
      <c r="N93" s="239"/>
      <c r="O93" s="240">
        <f aca="true" t="shared" si="30" ref="O93:O100">+J93+K93+L93+M93+N93</f>
        <v>0</v>
      </c>
      <c r="Q93" s="30">
        <f aca="true" t="shared" si="31" ref="Q93:Q100">+C18+C43+C68+C93+K18+K43+K68+K93</f>
        <v>0</v>
      </c>
      <c r="R93" s="30">
        <f>+'1.mell._Össz_Mérleg2014'!C102</f>
        <v>0</v>
      </c>
      <c r="S93" s="30">
        <f>+Q93-R93</f>
        <v>0</v>
      </c>
    </row>
    <row r="94" spans="1:19" ht="12">
      <c r="A94" s="257" t="s">
        <v>532</v>
      </c>
      <c r="B94" s="248"/>
      <c r="C94" s="249"/>
      <c r="D94" s="250"/>
      <c r="E94" s="251"/>
      <c r="F94" s="251"/>
      <c r="G94" s="252">
        <f t="shared" si="29"/>
        <v>0</v>
      </c>
      <c r="H94" s="209"/>
      <c r="I94" s="257" t="s">
        <v>532</v>
      </c>
      <c r="J94" s="248"/>
      <c r="K94" s="249"/>
      <c r="L94" s="250"/>
      <c r="M94" s="251"/>
      <c r="N94" s="251"/>
      <c r="O94" s="252">
        <f t="shared" si="30"/>
        <v>0</v>
      </c>
      <c r="Q94" s="30">
        <f t="shared" si="31"/>
        <v>0</v>
      </c>
      <c r="R94" s="30">
        <f>+'1.mell._Össz_Mérleg2014'!C106</f>
        <v>0</v>
      </c>
      <c r="S94" s="30">
        <f aca="true" t="shared" si="32" ref="S94:S100">+Q94-R94</f>
        <v>0</v>
      </c>
    </row>
    <row r="95" spans="1:19" ht="12">
      <c r="A95" s="247" t="s">
        <v>533</v>
      </c>
      <c r="B95" s="248"/>
      <c r="C95" s="249"/>
      <c r="D95" s="250"/>
      <c r="E95" s="251"/>
      <c r="F95" s="251"/>
      <c r="G95" s="252">
        <f t="shared" si="29"/>
        <v>0</v>
      </c>
      <c r="H95" s="209"/>
      <c r="I95" s="247" t="s">
        <v>533</v>
      </c>
      <c r="J95" s="248"/>
      <c r="K95" s="249"/>
      <c r="L95" s="250"/>
      <c r="M95" s="251"/>
      <c r="N95" s="251"/>
      <c r="O95" s="252">
        <f t="shared" si="30"/>
        <v>0</v>
      </c>
      <c r="Q95" s="30">
        <f t="shared" si="31"/>
        <v>0</v>
      </c>
      <c r="R95" s="30">
        <f>+'1.mell._Össz_Mérleg2014'!C108</f>
        <v>0</v>
      </c>
      <c r="S95" s="30">
        <f t="shared" si="32"/>
        <v>0</v>
      </c>
    </row>
    <row r="96" spans="1:19" ht="12">
      <c r="A96" s="247" t="s">
        <v>534</v>
      </c>
      <c r="B96" s="248"/>
      <c r="C96" s="249"/>
      <c r="D96" s="250"/>
      <c r="E96" s="251"/>
      <c r="F96" s="251"/>
      <c r="G96" s="252">
        <f t="shared" si="29"/>
        <v>0</v>
      </c>
      <c r="H96" s="209"/>
      <c r="I96" s="247" t="s">
        <v>534</v>
      </c>
      <c r="J96" s="248"/>
      <c r="K96" s="249"/>
      <c r="L96" s="250"/>
      <c r="M96" s="251"/>
      <c r="N96" s="251"/>
      <c r="O96" s="252">
        <f t="shared" si="30"/>
        <v>0</v>
      </c>
      <c r="Q96" s="30">
        <f t="shared" si="31"/>
        <v>0</v>
      </c>
      <c r="S96" s="30">
        <f t="shared" si="32"/>
        <v>0</v>
      </c>
    </row>
    <row r="97" spans="1:19" ht="12">
      <c r="A97" s="258" t="s">
        <v>535</v>
      </c>
      <c r="B97" s="259"/>
      <c r="C97" s="249"/>
      <c r="D97" s="250"/>
      <c r="E97" s="251"/>
      <c r="F97" s="251"/>
      <c r="G97" s="252">
        <f t="shared" si="29"/>
        <v>0</v>
      </c>
      <c r="H97" s="209"/>
      <c r="I97" s="258" t="s">
        <v>535</v>
      </c>
      <c r="J97" s="259"/>
      <c r="K97" s="249"/>
      <c r="L97" s="250"/>
      <c r="M97" s="251"/>
      <c r="N97" s="251"/>
      <c r="O97" s="252">
        <f t="shared" si="30"/>
        <v>0</v>
      </c>
      <c r="Q97" s="30">
        <f t="shared" si="31"/>
        <v>0</v>
      </c>
      <c r="R97" s="30">
        <f>+'1.mell._Össz_Mérleg2014'!C130</f>
        <v>0</v>
      </c>
      <c r="S97" s="30">
        <f t="shared" si="32"/>
        <v>0</v>
      </c>
    </row>
    <row r="98" spans="1:19" ht="12">
      <c r="A98" s="258" t="s">
        <v>536</v>
      </c>
      <c r="B98" s="259"/>
      <c r="C98" s="249"/>
      <c r="D98" s="250"/>
      <c r="E98" s="251"/>
      <c r="F98" s="251"/>
      <c r="G98" s="252">
        <f t="shared" si="29"/>
        <v>0</v>
      </c>
      <c r="H98" s="209"/>
      <c r="I98" s="258" t="s">
        <v>536</v>
      </c>
      <c r="J98" s="259"/>
      <c r="K98" s="249"/>
      <c r="L98" s="250"/>
      <c r="M98" s="251"/>
      <c r="N98" s="251"/>
      <c r="O98" s="252">
        <f t="shared" si="30"/>
        <v>0</v>
      </c>
      <c r="Q98" s="30">
        <f t="shared" si="31"/>
        <v>64039</v>
      </c>
      <c r="R98" s="30">
        <f>+'1.mell._Össz_Mérleg2014'!C141</f>
        <v>64039</v>
      </c>
      <c r="S98" s="30">
        <f t="shared" si="32"/>
        <v>0</v>
      </c>
    </row>
    <row r="99" spans="1:19" ht="12">
      <c r="A99" s="260" t="s">
        <v>537</v>
      </c>
      <c r="B99" s="261"/>
      <c r="C99" s="262"/>
      <c r="D99" s="263"/>
      <c r="E99" s="264"/>
      <c r="F99" s="264"/>
      <c r="G99" s="252">
        <f t="shared" si="29"/>
        <v>0</v>
      </c>
      <c r="H99" s="209"/>
      <c r="I99" s="260" t="s">
        <v>537</v>
      </c>
      <c r="J99" s="261"/>
      <c r="K99" s="262"/>
      <c r="L99" s="263"/>
      <c r="M99" s="264"/>
      <c r="N99" s="264"/>
      <c r="O99" s="252">
        <f t="shared" si="30"/>
        <v>0</v>
      </c>
      <c r="Q99" s="30">
        <f t="shared" si="31"/>
        <v>0</v>
      </c>
      <c r="R99" s="30">
        <f>+'1.mell._Össz_Mérleg2014'!C150</f>
        <v>0</v>
      </c>
      <c r="S99" s="30">
        <f t="shared" si="32"/>
        <v>0</v>
      </c>
    </row>
    <row r="100" spans="1:19" ht="12.75" thickBot="1">
      <c r="A100" s="260" t="s">
        <v>538</v>
      </c>
      <c r="B100" s="261"/>
      <c r="C100" s="262"/>
      <c r="D100" s="263"/>
      <c r="E100" s="264"/>
      <c r="F100" s="264"/>
      <c r="G100" s="252">
        <f t="shared" si="29"/>
        <v>0</v>
      </c>
      <c r="H100" s="209"/>
      <c r="I100" s="260" t="s">
        <v>538</v>
      </c>
      <c r="J100" s="261"/>
      <c r="K100" s="262"/>
      <c r="L100" s="263"/>
      <c r="M100" s="264"/>
      <c r="N100" s="264"/>
      <c r="O100" s="252">
        <f t="shared" si="30"/>
        <v>0</v>
      </c>
      <c r="Q100" s="30">
        <f t="shared" si="31"/>
        <v>0</v>
      </c>
      <c r="R100" s="30">
        <f>+'1.mell._Össz_Mérleg2014'!C160</f>
        <v>0</v>
      </c>
      <c r="S100" s="30">
        <f t="shared" si="32"/>
        <v>0</v>
      </c>
    </row>
    <row r="101" spans="1:15" ht="12.75" thickBot="1">
      <c r="A101" s="226" t="s">
        <v>539</v>
      </c>
      <c r="B101" s="253">
        <f aca="true" t="shared" si="33" ref="B101:G101">+B93+B94+B95+B96+B97+B98+B99+B100</f>
        <v>0</v>
      </c>
      <c r="C101" s="254">
        <f t="shared" si="33"/>
        <v>0</v>
      </c>
      <c r="D101" s="255">
        <f t="shared" si="33"/>
        <v>0</v>
      </c>
      <c r="E101" s="253">
        <f t="shared" si="33"/>
        <v>0</v>
      </c>
      <c r="F101" s="253">
        <f t="shared" si="33"/>
        <v>0</v>
      </c>
      <c r="G101" s="254">
        <f t="shared" si="33"/>
        <v>0</v>
      </c>
      <c r="H101" s="209"/>
      <c r="I101" s="226" t="s">
        <v>539</v>
      </c>
      <c r="J101" s="253">
        <f aca="true" t="shared" si="34" ref="J101:O101">+J93+J94+J95+J96+J97+J98+J99+J100</f>
        <v>0</v>
      </c>
      <c r="K101" s="254">
        <f t="shared" si="34"/>
        <v>0</v>
      </c>
      <c r="L101" s="255">
        <f t="shared" si="34"/>
        <v>0</v>
      </c>
      <c r="M101" s="253">
        <f t="shared" si="34"/>
        <v>0</v>
      </c>
      <c r="N101" s="253">
        <f t="shared" si="34"/>
        <v>0</v>
      </c>
      <c r="O101" s="254">
        <f t="shared" si="34"/>
        <v>0</v>
      </c>
    </row>
    <row r="102" spans="1:15" ht="12">
      <c r="A102" s="227"/>
      <c r="B102" s="227"/>
      <c r="C102" s="227"/>
      <c r="D102" s="227"/>
      <c r="E102" s="227"/>
      <c r="F102" s="227"/>
      <c r="G102" s="227"/>
      <c r="H102" s="209"/>
      <c r="I102" s="227"/>
      <c r="J102" s="227"/>
      <c r="K102" s="227"/>
      <c r="L102" s="227"/>
      <c r="M102" s="227"/>
      <c r="N102" s="227"/>
      <c r="O102" s="227"/>
    </row>
    <row r="104" spans="1:15" s="230" customFormat="1" ht="15.75">
      <c r="A104" s="1321" t="s">
        <v>530</v>
      </c>
      <c r="B104" s="1321"/>
      <c r="C104" s="1321"/>
      <c r="D104" s="1321"/>
      <c r="E104" s="1321"/>
      <c r="F104" s="1321"/>
      <c r="G104" s="1321"/>
      <c r="H104" s="228"/>
      <c r="I104" s="228"/>
      <c r="J104" s="228"/>
      <c r="K104" s="228"/>
      <c r="L104" s="228"/>
      <c r="M104" s="208"/>
      <c r="N104" s="208"/>
      <c r="O104" s="208"/>
    </row>
    <row r="105" spans="1:15" s="27" customFormat="1" ht="12.75" thickBot="1">
      <c r="A105" s="233"/>
      <c r="B105" s="233"/>
      <c r="C105" s="233"/>
      <c r="D105" s="233"/>
      <c r="E105" s="233"/>
      <c r="G105" s="288" t="s">
        <v>319</v>
      </c>
      <c r="H105" s="233"/>
      <c r="I105" s="233"/>
      <c r="J105" s="233"/>
      <c r="K105" s="233"/>
      <c r="L105" s="233"/>
      <c r="M105" s="233"/>
      <c r="N105" s="233"/>
      <c r="O105" s="233"/>
    </row>
    <row r="106" spans="1:15" s="528" customFormat="1" ht="24.75" thickBot="1">
      <c r="A106" s="388" t="s">
        <v>1224</v>
      </c>
      <c r="B106" s="526" t="s">
        <v>529</v>
      </c>
      <c r="C106" s="234" t="s">
        <v>419</v>
      </c>
      <c r="D106" s="399" t="s">
        <v>510</v>
      </c>
      <c r="E106" s="508" t="s">
        <v>527</v>
      </c>
      <c r="F106" s="507" t="s">
        <v>528</v>
      </c>
      <c r="G106" s="506" t="s">
        <v>18</v>
      </c>
      <c r="H106" s="527"/>
      <c r="I106" s="527"/>
      <c r="J106" s="527"/>
      <c r="K106" s="527"/>
      <c r="L106" s="527"/>
      <c r="M106" s="527"/>
      <c r="N106" s="527"/>
      <c r="O106" s="527"/>
    </row>
    <row r="107" spans="1:15" ht="12">
      <c r="A107" s="265"/>
      <c r="B107" s="266"/>
      <c r="C107" s="267"/>
      <c r="D107" s="268"/>
      <c r="E107" s="269"/>
      <c r="F107" s="270"/>
      <c r="G107" s="240"/>
      <c r="H107" s="209"/>
      <c r="I107" s="209"/>
      <c r="J107" s="209"/>
      <c r="K107" s="209"/>
      <c r="L107" s="209"/>
      <c r="M107" s="209"/>
      <c r="N107" s="209"/>
      <c r="O107" s="209"/>
    </row>
    <row r="108" spans="1:15" ht="12">
      <c r="A108" s="271" t="s">
        <v>1221</v>
      </c>
      <c r="B108" s="272">
        <f aca="true" t="shared" si="35" ref="B108:G108">+B109+B110</f>
        <v>13191</v>
      </c>
      <c r="C108" s="271">
        <f t="shared" si="35"/>
        <v>-11000</v>
      </c>
      <c r="D108" s="273">
        <f t="shared" si="35"/>
        <v>0</v>
      </c>
      <c r="E108" s="274">
        <f t="shared" si="35"/>
        <v>0</v>
      </c>
      <c r="F108" s="222">
        <f t="shared" si="35"/>
        <v>0</v>
      </c>
      <c r="G108" s="275">
        <f t="shared" si="35"/>
        <v>2191</v>
      </c>
      <c r="H108" s="231"/>
      <c r="I108" s="231"/>
      <c r="J108" s="231"/>
      <c r="K108" s="231"/>
      <c r="L108" s="231"/>
      <c r="M108" s="231"/>
      <c r="N108" s="231"/>
      <c r="O108" s="231"/>
    </row>
    <row r="109" spans="1:15" ht="24">
      <c r="A109" s="276" t="s">
        <v>1219</v>
      </c>
      <c r="B109" s="277">
        <v>13191</v>
      </c>
      <c r="C109" s="278">
        <v>-11000</v>
      </c>
      <c r="D109" s="279"/>
      <c r="E109" s="280"/>
      <c r="F109" s="281"/>
      <c r="G109" s="282">
        <f>+B109+C109+D109+E109+F109</f>
        <v>2191</v>
      </c>
      <c r="H109" s="209"/>
      <c r="I109" s="209"/>
      <c r="J109" s="209"/>
      <c r="K109" s="209"/>
      <c r="L109" s="209"/>
      <c r="M109" s="209"/>
      <c r="N109" s="209"/>
      <c r="O109" s="209"/>
    </row>
    <row r="110" spans="1:15" ht="36">
      <c r="A110" s="276" t="s">
        <v>1220</v>
      </c>
      <c r="B110" s="277"/>
      <c r="C110" s="278">
        <v>0</v>
      </c>
      <c r="D110" s="279"/>
      <c r="E110" s="280"/>
      <c r="F110" s="281"/>
      <c r="G110" s="282"/>
      <c r="H110" s="209"/>
      <c r="I110" s="209"/>
      <c r="J110" s="209"/>
      <c r="K110" s="209"/>
      <c r="L110" s="209"/>
      <c r="M110" s="209"/>
      <c r="N110" s="209"/>
      <c r="O110" s="209"/>
    </row>
    <row r="111" spans="1:15" ht="12">
      <c r="A111" s="271" t="s">
        <v>1223</v>
      </c>
      <c r="B111" s="272">
        <f aca="true" t="shared" si="36" ref="B111:G111">+B112</f>
        <v>0</v>
      </c>
      <c r="C111" s="271">
        <f t="shared" si="36"/>
        <v>0</v>
      </c>
      <c r="D111" s="273">
        <f t="shared" si="36"/>
        <v>0</v>
      </c>
      <c r="E111" s="274">
        <f t="shared" si="36"/>
        <v>0</v>
      </c>
      <c r="F111" s="222">
        <f t="shared" si="36"/>
        <v>0</v>
      </c>
      <c r="G111" s="275">
        <f t="shared" si="36"/>
        <v>0</v>
      </c>
      <c r="H111" s="231"/>
      <c r="I111" s="231"/>
      <c r="J111" s="231"/>
      <c r="K111" s="231"/>
      <c r="L111" s="231"/>
      <c r="M111" s="231"/>
      <c r="N111" s="231"/>
      <c r="O111" s="231"/>
    </row>
    <row r="112" spans="1:15" ht="36.75" thickBot="1">
      <c r="A112" s="276" t="s">
        <v>1225</v>
      </c>
      <c r="B112" s="277"/>
      <c r="C112" s="278">
        <v>0</v>
      </c>
      <c r="D112" s="279"/>
      <c r="E112" s="280"/>
      <c r="F112" s="281"/>
      <c r="G112" s="282">
        <f>+B112+C112+D112+E112+F112</f>
        <v>0</v>
      </c>
      <c r="H112" s="209"/>
      <c r="I112" s="209"/>
      <c r="J112" s="209"/>
      <c r="K112" s="209"/>
      <c r="L112" s="209"/>
      <c r="M112" s="209"/>
      <c r="N112" s="209"/>
      <c r="O112" s="209"/>
    </row>
    <row r="113" spans="1:7" ht="12.75" thickBot="1">
      <c r="A113" s="229" t="s">
        <v>519</v>
      </c>
      <c r="B113" s="283">
        <f aca="true" t="shared" si="37" ref="B113:G113">+B108+B111</f>
        <v>13191</v>
      </c>
      <c r="C113" s="229">
        <f t="shared" si="37"/>
        <v>-11000</v>
      </c>
      <c r="D113" s="284">
        <f t="shared" si="37"/>
        <v>0</v>
      </c>
      <c r="E113" s="285">
        <f t="shared" si="37"/>
        <v>0</v>
      </c>
      <c r="F113" s="286">
        <f t="shared" si="37"/>
        <v>0</v>
      </c>
      <c r="G113" s="287">
        <f t="shared" si="37"/>
        <v>2191</v>
      </c>
    </row>
    <row r="115" spans="1:7" ht="12">
      <c r="A115" s="232" t="s">
        <v>1222</v>
      </c>
      <c r="B115" s="209"/>
      <c r="C115" s="209"/>
      <c r="D115" s="209"/>
      <c r="E115" s="209"/>
      <c r="F115" s="209"/>
      <c r="G115" s="209"/>
    </row>
  </sheetData>
  <sheetProtection/>
  <mergeCells count="26">
    <mergeCell ref="A6:G6"/>
    <mergeCell ref="I6:O6"/>
    <mergeCell ref="B54:G54"/>
    <mergeCell ref="A55:G55"/>
    <mergeCell ref="A56:G56"/>
    <mergeCell ref="I55:O55"/>
    <mergeCell ref="I81:O81"/>
    <mergeCell ref="I56:O56"/>
    <mergeCell ref="J79:O79"/>
    <mergeCell ref="J29:O29"/>
    <mergeCell ref="B29:G29"/>
    <mergeCell ref="A30:G30"/>
    <mergeCell ref="A31:G31"/>
    <mergeCell ref="I30:O30"/>
    <mergeCell ref="I31:O31"/>
    <mergeCell ref="B79:G79"/>
    <mergeCell ref="A104:G104"/>
    <mergeCell ref="A80:G80"/>
    <mergeCell ref="A81:G81"/>
    <mergeCell ref="A2:O2"/>
    <mergeCell ref="B4:G4"/>
    <mergeCell ref="J4:O4"/>
    <mergeCell ref="A5:G5"/>
    <mergeCell ref="I5:O5"/>
    <mergeCell ref="I80:O80"/>
    <mergeCell ref="J54:O5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T60"/>
  <sheetViews>
    <sheetView zoomScale="80" zoomScaleNormal="80" zoomScalePageLayoutView="0" workbookViewId="0" topLeftCell="A1">
      <selection activeCell="T1" sqref="T1"/>
    </sheetView>
  </sheetViews>
  <sheetFormatPr defaultColWidth="9.00390625" defaultRowHeight="12.75"/>
  <cols>
    <col min="1" max="1" width="5.00390625" style="217" customWidth="1"/>
    <col min="2" max="2" width="42.375" style="217" bestFit="1" customWidth="1"/>
    <col min="3" max="3" width="9.625" style="217" customWidth="1"/>
    <col min="4" max="19" width="7.125" style="217" bestFit="1" customWidth="1"/>
    <col min="20" max="20" width="10.25390625" style="217" customWidth="1"/>
    <col min="21" max="16384" width="9.125" style="217" customWidth="1"/>
  </cols>
  <sheetData>
    <row r="1" spans="1:20" s="218" customFormat="1" ht="15.75">
      <c r="A1" s="208"/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23" t="s">
        <v>1405</v>
      </c>
    </row>
    <row r="2" spans="1:20" s="218" customFormat="1" ht="15.75">
      <c r="A2" s="1330" t="s">
        <v>542</v>
      </c>
      <c r="B2" s="1330"/>
      <c r="C2" s="1330"/>
      <c r="D2" s="1330"/>
      <c r="E2" s="1330"/>
      <c r="F2" s="1330"/>
      <c r="G2" s="1330"/>
      <c r="H2" s="1330"/>
      <c r="I2" s="1330"/>
      <c r="J2" s="1330"/>
      <c r="K2" s="1330"/>
      <c r="L2" s="1330"/>
      <c r="M2" s="1330"/>
      <c r="N2" s="1330"/>
      <c r="O2" s="1330"/>
      <c r="P2" s="1330"/>
      <c r="Q2" s="1330"/>
      <c r="R2" s="1330"/>
      <c r="S2" s="1330"/>
      <c r="T2" s="1330"/>
    </row>
    <row r="3" spans="1:20" ht="12.75" thickBot="1">
      <c r="A3" s="209"/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95" t="s">
        <v>77</v>
      </c>
    </row>
    <row r="4" spans="1:20" ht="14.25" thickBot="1">
      <c r="A4" s="1331" t="s">
        <v>17</v>
      </c>
      <c r="B4" s="1333" t="s">
        <v>7</v>
      </c>
      <c r="C4" s="1335" t="s">
        <v>571</v>
      </c>
      <c r="D4" s="1336"/>
      <c r="E4" s="1336"/>
      <c r="F4" s="1336"/>
      <c r="G4" s="1336"/>
      <c r="H4" s="1336"/>
      <c r="I4" s="1336"/>
      <c r="J4" s="1336"/>
      <c r="K4" s="1336"/>
      <c r="L4" s="1336"/>
      <c r="M4" s="1336"/>
      <c r="N4" s="1336"/>
      <c r="O4" s="1336"/>
      <c r="P4" s="1336"/>
      <c r="Q4" s="1336"/>
      <c r="R4" s="1336"/>
      <c r="S4" s="1337"/>
      <c r="T4" s="1324" t="s">
        <v>18</v>
      </c>
    </row>
    <row r="5" spans="1:20" ht="24.75" thickBot="1">
      <c r="A5" s="1332"/>
      <c r="B5" s="1334"/>
      <c r="C5" s="234" t="s">
        <v>419</v>
      </c>
      <c r="D5" s="294" t="s">
        <v>510</v>
      </c>
      <c r="E5" s="289" t="s">
        <v>527</v>
      </c>
      <c r="F5" s="293" t="s">
        <v>544</v>
      </c>
      <c r="G5" s="293" t="s">
        <v>545</v>
      </c>
      <c r="H5" s="293" t="s">
        <v>546</v>
      </c>
      <c r="I5" s="293" t="s">
        <v>547</v>
      </c>
      <c r="J5" s="293" t="s">
        <v>548</v>
      </c>
      <c r="K5" s="293" t="s">
        <v>549</v>
      </c>
      <c r="L5" s="293" t="s">
        <v>550</v>
      </c>
      <c r="M5" s="293" t="s">
        <v>551</v>
      </c>
      <c r="N5" s="293" t="s">
        <v>552</v>
      </c>
      <c r="O5" s="293" t="s">
        <v>553</v>
      </c>
      <c r="P5" s="293" t="s">
        <v>554</v>
      </c>
      <c r="Q5" s="293" t="s">
        <v>555</v>
      </c>
      <c r="R5" s="293" t="s">
        <v>556</v>
      </c>
      <c r="S5" s="292" t="s">
        <v>573</v>
      </c>
      <c r="T5" s="1325"/>
    </row>
    <row r="6" spans="1:20" ht="12.75" thickBot="1">
      <c r="A6" s="291">
        <v>1</v>
      </c>
      <c r="B6" s="290">
        <v>2</v>
      </c>
      <c r="C6" s="345">
        <v>3</v>
      </c>
      <c r="D6" s="296">
        <v>4</v>
      </c>
      <c r="E6" s="297">
        <v>5</v>
      </c>
      <c r="F6" s="297">
        <v>6</v>
      </c>
      <c r="G6" s="297">
        <v>7</v>
      </c>
      <c r="H6" s="297">
        <v>8</v>
      </c>
      <c r="I6" s="297">
        <v>9</v>
      </c>
      <c r="J6" s="297">
        <v>10</v>
      </c>
      <c r="K6" s="297">
        <v>11</v>
      </c>
      <c r="L6" s="297">
        <v>12</v>
      </c>
      <c r="M6" s="297">
        <v>13</v>
      </c>
      <c r="N6" s="297">
        <v>14</v>
      </c>
      <c r="O6" s="297">
        <v>15</v>
      </c>
      <c r="P6" s="297">
        <v>16</v>
      </c>
      <c r="Q6" s="297">
        <v>17</v>
      </c>
      <c r="R6" s="297">
        <v>18</v>
      </c>
      <c r="S6" s="298">
        <v>19</v>
      </c>
      <c r="T6" s="299" t="s">
        <v>557</v>
      </c>
    </row>
    <row r="7" spans="1:20" ht="12">
      <c r="A7" s="362" t="s">
        <v>4</v>
      </c>
      <c r="B7" s="300" t="s">
        <v>1273</v>
      </c>
      <c r="C7" s="346">
        <v>284450</v>
      </c>
      <c r="D7" s="301">
        <f>+ROUND(C7*1.023,0)</f>
        <v>290992</v>
      </c>
      <c r="E7" s="301">
        <f>+ROUND(D7*1.025,0)</f>
        <v>298267</v>
      </c>
      <c r="F7" s="301">
        <f>+ROUND(E7*1.026,0)</f>
        <v>306022</v>
      </c>
      <c r="G7" s="302">
        <f>+F7</f>
        <v>306022</v>
      </c>
      <c r="H7" s="302">
        <f aca="true" t="shared" si="0" ref="H7:S7">+G7</f>
        <v>306022</v>
      </c>
      <c r="I7" s="302">
        <f t="shared" si="0"/>
        <v>306022</v>
      </c>
      <c r="J7" s="302">
        <f t="shared" si="0"/>
        <v>306022</v>
      </c>
      <c r="K7" s="302">
        <f t="shared" si="0"/>
        <v>306022</v>
      </c>
      <c r="L7" s="302">
        <f t="shared" si="0"/>
        <v>306022</v>
      </c>
      <c r="M7" s="302">
        <f t="shared" si="0"/>
        <v>306022</v>
      </c>
      <c r="N7" s="302">
        <f t="shared" si="0"/>
        <v>306022</v>
      </c>
      <c r="O7" s="302">
        <f t="shared" si="0"/>
        <v>306022</v>
      </c>
      <c r="P7" s="302">
        <f t="shared" si="0"/>
        <v>306022</v>
      </c>
      <c r="Q7" s="302">
        <f t="shared" si="0"/>
        <v>306022</v>
      </c>
      <c r="R7" s="302">
        <f t="shared" si="0"/>
        <v>306022</v>
      </c>
      <c r="S7" s="302">
        <f t="shared" si="0"/>
        <v>306022</v>
      </c>
      <c r="T7" s="303">
        <f aca="true" t="shared" si="1" ref="T7:T12">SUM(C7:S7)</f>
        <v>5158017</v>
      </c>
    </row>
    <row r="8" spans="1:20" ht="36">
      <c r="A8" s="363" t="s">
        <v>5</v>
      </c>
      <c r="B8" s="304" t="s">
        <v>1274</v>
      </c>
      <c r="C8" s="347">
        <v>244</v>
      </c>
      <c r="D8" s="305"/>
      <c r="E8" s="306"/>
      <c r="F8" s="306"/>
      <c r="G8" s="302">
        <f aca="true" t="shared" si="2" ref="G8:S12">+F8</f>
        <v>0</v>
      </c>
      <c r="H8" s="302">
        <f t="shared" si="2"/>
        <v>0</v>
      </c>
      <c r="I8" s="302">
        <f t="shared" si="2"/>
        <v>0</v>
      </c>
      <c r="J8" s="302">
        <f t="shared" si="2"/>
        <v>0</v>
      </c>
      <c r="K8" s="302">
        <f t="shared" si="2"/>
        <v>0</v>
      </c>
      <c r="L8" s="302">
        <f t="shared" si="2"/>
        <v>0</v>
      </c>
      <c r="M8" s="302">
        <f t="shared" si="2"/>
        <v>0</v>
      </c>
      <c r="N8" s="302">
        <f t="shared" si="2"/>
        <v>0</v>
      </c>
      <c r="O8" s="302">
        <f t="shared" si="2"/>
        <v>0</v>
      </c>
      <c r="P8" s="302">
        <f t="shared" si="2"/>
        <v>0</v>
      </c>
      <c r="Q8" s="302">
        <f t="shared" si="2"/>
        <v>0</v>
      </c>
      <c r="R8" s="302">
        <f t="shared" si="2"/>
        <v>0</v>
      </c>
      <c r="S8" s="302">
        <f t="shared" si="2"/>
        <v>0</v>
      </c>
      <c r="T8" s="307">
        <f t="shared" si="1"/>
        <v>244</v>
      </c>
    </row>
    <row r="9" spans="1:20" ht="12">
      <c r="A9" s="363" t="s">
        <v>6</v>
      </c>
      <c r="B9" s="304" t="s">
        <v>1275</v>
      </c>
      <c r="C9" s="347"/>
      <c r="D9" s="305"/>
      <c r="E9" s="306"/>
      <c r="F9" s="306"/>
      <c r="G9" s="302">
        <f aca="true" t="shared" si="3" ref="G9:S9">+F9</f>
        <v>0</v>
      </c>
      <c r="H9" s="302">
        <f t="shared" si="3"/>
        <v>0</v>
      </c>
      <c r="I9" s="302">
        <f t="shared" si="3"/>
        <v>0</v>
      </c>
      <c r="J9" s="302">
        <f t="shared" si="3"/>
        <v>0</v>
      </c>
      <c r="K9" s="302">
        <f t="shared" si="3"/>
        <v>0</v>
      </c>
      <c r="L9" s="302">
        <f t="shared" si="3"/>
        <v>0</v>
      </c>
      <c r="M9" s="302">
        <f t="shared" si="3"/>
        <v>0</v>
      </c>
      <c r="N9" s="302">
        <f t="shared" si="3"/>
        <v>0</v>
      </c>
      <c r="O9" s="302">
        <f t="shared" si="3"/>
        <v>0</v>
      </c>
      <c r="P9" s="302">
        <f t="shared" si="3"/>
        <v>0</v>
      </c>
      <c r="Q9" s="302">
        <f t="shared" si="3"/>
        <v>0</v>
      </c>
      <c r="R9" s="302">
        <f t="shared" si="3"/>
        <v>0</v>
      </c>
      <c r="S9" s="302">
        <f t="shared" si="3"/>
        <v>0</v>
      </c>
      <c r="T9" s="307">
        <f t="shared" si="1"/>
        <v>0</v>
      </c>
    </row>
    <row r="10" spans="1:20" ht="36">
      <c r="A10" s="363" t="s">
        <v>3</v>
      </c>
      <c r="B10" s="304" t="s">
        <v>1276</v>
      </c>
      <c r="C10" s="347"/>
      <c r="D10" s="305"/>
      <c r="E10" s="306"/>
      <c r="F10" s="306"/>
      <c r="G10" s="302">
        <f aca="true" t="shared" si="4" ref="G10:S10">+F10</f>
        <v>0</v>
      </c>
      <c r="H10" s="302">
        <f t="shared" si="4"/>
        <v>0</v>
      </c>
      <c r="I10" s="302">
        <f t="shared" si="4"/>
        <v>0</v>
      </c>
      <c r="J10" s="302">
        <f t="shared" si="4"/>
        <v>0</v>
      </c>
      <c r="K10" s="302">
        <f t="shared" si="4"/>
        <v>0</v>
      </c>
      <c r="L10" s="302">
        <f t="shared" si="4"/>
        <v>0</v>
      </c>
      <c r="M10" s="302">
        <f t="shared" si="4"/>
        <v>0</v>
      </c>
      <c r="N10" s="302">
        <f t="shared" si="4"/>
        <v>0</v>
      </c>
      <c r="O10" s="302">
        <f t="shared" si="4"/>
        <v>0</v>
      </c>
      <c r="P10" s="302">
        <f t="shared" si="4"/>
        <v>0</v>
      </c>
      <c r="Q10" s="302">
        <f t="shared" si="4"/>
        <v>0</v>
      </c>
      <c r="R10" s="302">
        <f t="shared" si="4"/>
        <v>0</v>
      </c>
      <c r="S10" s="302">
        <f t="shared" si="4"/>
        <v>0</v>
      </c>
      <c r="T10" s="307">
        <f t="shared" si="1"/>
        <v>0</v>
      </c>
    </row>
    <row r="11" spans="1:20" ht="12.75">
      <c r="A11" s="363" t="s">
        <v>16</v>
      </c>
      <c r="B11" s="1015" t="s">
        <v>1277</v>
      </c>
      <c r="C11" s="347">
        <v>3500</v>
      </c>
      <c r="D11" s="305">
        <f>+C11</f>
        <v>3500</v>
      </c>
      <c r="E11" s="305">
        <f>+D11</f>
        <v>3500</v>
      </c>
      <c r="F11" s="305">
        <f>+E11</f>
        <v>3500</v>
      </c>
      <c r="G11" s="302">
        <f t="shared" si="2"/>
        <v>3500</v>
      </c>
      <c r="H11" s="302">
        <f t="shared" si="2"/>
        <v>3500</v>
      </c>
      <c r="I11" s="302">
        <f t="shared" si="2"/>
        <v>3500</v>
      </c>
      <c r="J11" s="302">
        <f t="shared" si="2"/>
        <v>3500</v>
      </c>
      <c r="K11" s="302">
        <f t="shared" si="2"/>
        <v>3500</v>
      </c>
      <c r="L11" s="302">
        <f t="shared" si="2"/>
        <v>3500</v>
      </c>
      <c r="M11" s="302">
        <f t="shared" si="2"/>
        <v>3500</v>
      </c>
      <c r="N11" s="302">
        <f t="shared" si="2"/>
        <v>3500</v>
      </c>
      <c r="O11" s="302">
        <f t="shared" si="2"/>
        <v>3500</v>
      </c>
      <c r="P11" s="302">
        <f t="shared" si="2"/>
        <v>3500</v>
      </c>
      <c r="Q11" s="302">
        <f t="shared" si="2"/>
        <v>3500</v>
      </c>
      <c r="R11" s="302">
        <f t="shared" si="2"/>
        <v>3500</v>
      </c>
      <c r="S11" s="302">
        <f t="shared" si="2"/>
        <v>3500</v>
      </c>
      <c r="T11" s="307">
        <f t="shared" si="1"/>
        <v>59500</v>
      </c>
    </row>
    <row r="12" spans="1:20" ht="12.75" thickBot="1">
      <c r="A12" s="364" t="s">
        <v>15</v>
      </c>
      <c r="B12" s="308" t="s">
        <v>558</v>
      </c>
      <c r="C12" s="348"/>
      <c r="D12" s="309"/>
      <c r="E12" s="310"/>
      <c r="F12" s="310"/>
      <c r="G12" s="369">
        <f t="shared" si="2"/>
        <v>0</v>
      </c>
      <c r="H12" s="369">
        <f t="shared" si="2"/>
        <v>0</v>
      </c>
      <c r="I12" s="369">
        <f t="shared" si="2"/>
        <v>0</v>
      </c>
      <c r="J12" s="369">
        <f t="shared" si="2"/>
        <v>0</v>
      </c>
      <c r="K12" s="369">
        <f t="shared" si="2"/>
        <v>0</v>
      </c>
      <c r="L12" s="369">
        <f t="shared" si="2"/>
        <v>0</v>
      </c>
      <c r="M12" s="369">
        <f t="shared" si="2"/>
        <v>0</v>
      </c>
      <c r="N12" s="369">
        <f t="shared" si="2"/>
        <v>0</v>
      </c>
      <c r="O12" s="369">
        <f t="shared" si="2"/>
        <v>0</v>
      </c>
      <c r="P12" s="369">
        <f t="shared" si="2"/>
        <v>0</v>
      </c>
      <c r="Q12" s="369">
        <f t="shared" si="2"/>
        <v>0</v>
      </c>
      <c r="R12" s="369">
        <f t="shared" si="2"/>
        <v>0</v>
      </c>
      <c r="S12" s="369">
        <f t="shared" si="2"/>
        <v>0</v>
      </c>
      <c r="T12" s="311">
        <f t="shared" si="1"/>
        <v>0</v>
      </c>
    </row>
    <row r="13" spans="1:20" ht="15" thickBot="1">
      <c r="A13" s="365" t="s">
        <v>14</v>
      </c>
      <c r="B13" s="312" t="s">
        <v>1279</v>
      </c>
      <c r="C13" s="313">
        <f>+C7+C8+C11+C10+C9+C12</f>
        <v>288194</v>
      </c>
      <c r="D13" s="344">
        <f aca="true" t="shared" si="5" ref="D13:T13">+D7+D8+D11+D10+D9+D12</f>
        <v>294492</v>
      </c>
      <c r="E13" s="314">
        <f t="shared" si="5"/>
        <v>301767</v>
      </c>
      <c r="F13" s="314">
        <f t="shared" si="5"/>
        <v>309522</v>
      </c>
      <c r="G13" s="314">
        <f t="shared" si="5"/>
        <v>309522</v>
      </c>
      <c r="H13" s="314">
        <f t="shared" si="5"/>
        <v>309522</v>
      </c>
      <c r="I13" s="314">
        <f t="shared" si="5"/>
        <v>309522</v>
      </c>
      <c r="J13" s="314">
        <f t="shared" si="5"/>
        <v>309522</v>
      </c>
      <c r="K13" s="314">
        <f t="shared" si="5"/>
        <v>309522</v>
      </c>
      <c r="L13" s="314">
        <f t="shared" si="5"/>
        <v>309522</v>
      </c>
      <c r="M13" s="314">
        <f t="shared" si="5"/>
        <v>309522</v>
      </c>
      <c r="N13" s="314">
        <f t="shared" si="5"/>
        <v>309522</v>
      </c>
      <c r="O13" s="314">
        <f t="shared" si="5"/>
        <v>309522</v>
      </c>
      <c r="P13" s="314">
        <f t="shared" si="5"/>
        <v>309522</v>
      </c>
      <c r="Q13" s="314">
        <f t="shared" si="5"/>
        <v>309522</v>
      </c>
      <c r="R13" s="314">
        <f t="shared" si="5"/>
        <v>309522</v>
      </c>
      <c r="S13" s="315">
        <f t="shared" si="5"/>
        <v>309522</v>
      </c>
      <c r="T13" s="368">
        <f t="shared" si="5"/>
        <v>5217761</v>
      </c>
    </row>
    <row r="14" spans="1:20" ht="15" thickBot="1">
      <c r="A14" s="365" t="s">
        <v>13</v>
      </c>
      <c r="B14" s="312" t="s">
        <v>1280</v>
      </c>
      <c r="C14" s="319">
        <f>+ROUNDDOWN(C13*0.5,0)</f>
        <v>144097</v>
      </c>
      <c r="D14" s="330">
        <f aca="true" t="shared" si="6" ref="D14:T14">+ROUNDDOWN(D13*0.5,0)</f>
        <v>147246</v>
      </c>
      <c r="E14" s="331">
        <f t="shared" si="6"/>
        <v>150883</v>
      </c>
      <c r="F14" s="331">
        <f t="shared" si="6"/>
        <v>154761</v>
      </c>
      <c r="G14" s="331">
        <f t="shared" si="6"/>
        <v>154761</v>
      </c>
      <c r="H14" s="331">
        <f t="shared" si="6"/>
        <v>154761</v>
      </c>
      <c r="I14" s="331">
        <f t="shared" si="6"/>
        <v>154761</v>
      </c>
      <c r="J14" s="331">
        <f t="shared" si="6"/>
        <v>154761</v>
      </c>
      <c r="K14" s="331">
        <f t="shared" si="6"/>
        <v>154761</v>
      </c>
      <c r="L14" s="331">
        <f t="shared" si="6"/>
        <v>154761</v>
      </c>
      <c r="M14" s="331">
        <f t="shared" si="6"/>
        <v>154761</v>
      </c>
      <c r="N14" s="331">
        <f t="shared" si="6"/>
        <v>154761</v>
      </c>
      <c r="O14" s="331">
        <f t="shared" si="6"/>
        <v>154761</v>
      </c>
      <c r="P14" s="331">
        <f t="shared" si="6"/>
        <v>154761</v>
      </c>
      <c r="Q14" s="331">
        <f t="shared" si="6"/>
        <v>154761</v>
      </c>
      <c r="R14" s="331">
        <f t="shared" si="6"/>
        <v>154761</v>
      </c>
      <c r="S14" s="332">
        <f t="shared" si="6"/>
        <v>154761</v>
      </c>
      <c r="T14" s="319">
        <f t="shared" si="6"/>
        <v>2608880</v>
      </c>
    </row>
    <row r="15" spans="1:20" ht="27" thickBot="1">
      <c r="A15" s="365" t="s">
        <v>12</v>
      </c>
      <c r="B15" s="312" t="s">
        <v>1286</v>
      </c>
      <c r="C15" s="319">
        <f>+C16+C26+C27+C28+C29+C30+C31+C32+C33</f>
        <v>72020</v>
      </c>
      <c r="D15" s="316">
        <f aca="true" t="shared" si="7" ref="D15:T15">+D16+D26+D27+D28+D29+D30+D31+D32+D33</f>
        <v>50000</v>
      </c>
      <c r="E15" s="317">
        <f t="shared" si="7"/>
        <v>50000</v>
      </c>
      <c r="F15" s="317">
        <f t="shared" si="7"/>
        <v>0</v>
      </c>
      <c r="G15" s="317">
        <f t="shared" si="7"/>
        <v>0</v>
      </c>
      <c r="H15" s="317">
        <f t="shared" si="7"/>
        <v>0</v>
      </c>
      <c r="I15" s="317">
        <f t="shared" si="7"/>
        <v>0</v>
      </c>
      <c r="J15" s="317">
        <f t="shared" si="7"/>
        <v>0</v>
      </c>
      <c r="K15" s="317">
        <f t="shared" si="7"/>
        <v>0</v>
      </c>
      <c r="L15" s="317">
        <f t="shared" si="7"/>
        <v>0</v>
      </c>
      <c r="M15" s="317">
        <f t="shared" si="7"/>
        <v>0</v>
      </c>
      <c r="N15" s="317">
        <f t="shared" si="7"/>
        <v>0</v>
      </c>
      <c r="O15" s="317">
        <f t="shared" si="7"/>
        <v>0</v>
      </c>
      <c r="P15" s="317">
        <f t="shared" si="7"/>
        <v>0</v>
      </c>
      <c r="Q15" s="317">
        <f t="shared" si="7"/>
        <v>0</v>
      </c>
      <c r="R15" s="317">
        <f t="shared" si="7"/>
        <v>0</v>
      </c>
      <c r="S15" s="318">
        <f t="shared" si="7"/>
        <v>0</v>
      </c>
      <c r="T15" s="319">
        <f t="shared" si="7"/>
        <v>172020</v>
      </c>
    </row>
    <row r="16" spans="1:20" ht="12">
      <c r="A16" s="362" t="s">
        <v>11</v>
      </c>
      <c r="B16" s="300" t="s">
        <v>559</v>
      </c>
      <c r="C16" s="346">
        <f>SUM(C17:C25)</f>
        <v>22020</v>
      </c>
      <c r="D16" s="301">
        <f aca="true" t="shared" si="8" ref="D16:T16">SUM(D17:D25)</f>
        <v>0</v>
      </c>
      <c r="E16" s="302">
        <f t="shared" si="8"/>
        <v>0</v>
      </c>
      <c r="F16" s="302">
        <f t="shared" si="8"/>
        <v>0</v>
      </c>
      <c r="G16" s="302">
        <f t="shared" si="8"/>
        <v>0</v>
      </c>
      <c r="H16" s="302">
        <f t="shared" si="8"/>
        <v>0</v>
      </c>
      <c r="I16" s="302">
        <f t="shared" si="8"/>
        <v>0</v>
      </c>
      <c r="J16" s="302">
        <f t="shared" si="8"/>
        <v>0</v>
      </c>
      <c r="K16" s="302">
        <f t="shared" si="8"/>
        <v>0</v>
      </c>
      <c r="L16" s="302">
        <f t="shared" si="8"/>
        <v>0</v>
      </c>
      <c r="M16" s="302">
        <f t="shared" si="8"/>
        <v>0</v>
      </c>
      <c r="N16" s="302">
        <f t="shared" si="8"/>
        <v>0</v>
      </c>
      <c r="O16" s="302">
        <f t="shared" si="8"/>
        <v>0</v>
      </c>
      <c r="P16" s="302">
        <f t="shared" si="8"/>
        <v>0</v>
      </c>
      <c r="Q16" s="302">
        <f t="shared" si="8"/>
        <v>0</v>
      </c>
      <c r="R16" s="302">
        <f t="shared" si="8"/>
        <v>0</v>
      </c>
      <c r="S16" s="320">
        <f t="shared" si="8"/>
        <v>0</v>
      </c>
      <c r="T16" s="303">
        <f t="shared" si="8"/>
        <v>22020</v>
      </c>
    </row>
    <row r="17" spans="1:20" ht="12">
      <c r="A17" s="366"/>
      <c r="B17" s="321" t="s">
        <v>1245</v>
      </c>
      <c r="C17" s="349"/>
      <c r="D17" s="322"/>
      <c r="E17" s="323"/>
      <c r="F17" s="323"/>
      <c r="G17" s="323"/>
      <c r="H17" s="323"/>
      <c r="I17" s="323"/>
      <c r="J17" s="323"/>
      <c r="K17" s="323"/>
      <c r="L17" s="323"/>
      <c r="M17" s="323"/>
      <c r="N17" s="323"/>
      <c r="O17" s="323"/>
      <c r="P17" s="323"/>
      <c r="Q17" s="323"/>
      <c r="R17" s="323"/>
      <c r="S17" s="324"/>
      <c r="T17" s="325">
        <f aca="true" t="shared" si="9" ref="T17:T26">SUM(C17:S17)</f>
        <v>0</v>
      </c>
    </row>
    <row r="18" spans="1:20" ht="12">
      <c r="A18" s="366"/>
      <c r="B18" s="1105" t="s">
        <v>1243</v>
      </c>
      <c r="C18" s="349">
        <f>+(8077+677)</f>
        <v>8754</v>
      </c>
      <c r="D18" s="322"/>
      <c r="E18" s="323"/>
      <c r="F18" s="323"/>
      <c r="G18" s="323"/>
      <c r="H18" s="323"/>
      <c r="I18" s="323"/>
      <c r="J18" s="323"/>
      <c r="K18" s="323"/>
      <c r="L18" s="323"/>
      <c r="M18" s="323"/>
      <c r="N18" s="323"/>
      <c r="O18" s="323"/>
      <c r="P18" s="323"/>
      <c r="Q18" s="323"/>
      <c r="R18" s="323"/>
      <c r="S18" s="324"/>
      <c r="T18" s="325">
        <f t="shared" si="9"/>
        <v>8754</v>
      </c>
    </row>
    <row r="19" spans="1:20" ht="12">
      <c r="A19" s="366"/>
      <c r="B19" s="1105" t="s">
        <v>1244</v>
      </c>
      <c r="C19" s="349"/>
      <c r="D19" s="322"/>
      <c r="E19" s="323"/>
      <c r="F19" s="323"/>
      <c r="G19" s="323"/>
      <c r="H19" s="323"/>
      <c r="I19" s="323"/>
      <c r="J19" s="323"/>
      <c r="K19" s="323"/>
      <c r="L19" s="323"/>
      <c r="M19" s="323"/>
      <c r="N19" s="323"/>
      <c r="O19" s="323"/>
      <c r="P19" s="323"/>
      <c r="Q19" s="323"/>
      <c r="R19" s="323"/>
      <c r="S19" s="324"/>
      <c r="T19" s="325">
        <f t="shared" si="9"/>
        <v>0</v>
      </c>
    </row>
    <row r="20" spans="1:20" ht="12">
      <c r="A20" s="366"/>
      <c r="B20" s="321" t="s">
        <v>1246</v>
      </c>
      <c r="C20" s="349"/>
      <c r="D20" s="322"/>
      <c r="E20" s="323"/>
      <c r="F20" s="323"/>
      <c r="G20" s="323"/>
      <c r="H20" s="323"/>
      <c r="I20" s="323"/>
      <c r="J20" s="323"/>
      <c r="K20" s="323"/>
      <c r="L20" s="323"/>
      <c r="M20" s="323"/>
      <c r="N20" s="323"/>
      <c r="O20" s="323"/>
      <c r="P20" s="323"/>
      <c r="Q20" s="323"/>
      <c r="R20" s="323"/>
      <c r="S20" s="324"/>
      <c r="T20" s="325">
        <f t="shared" si="9"/>
        <v>0</v>
      </c>
    </row>
    <row r="21" spans="1:20" ht="12">
      <c r="A21" s="366"/>
      <c r="B21" s="1105" t="s">
        <v>1243</v>
      </c>
      <c r="C21" s="349">
        <v>12516</v>
      </c>
      <c r="D21" s="322"/>
      <c r="E21" s="323"/>
      <c r="F21" s="323"/>
      <c r="G21" s="323"/>
      <c r="H21" s="323"/>
      <c r="I21" s="323"/>
      <c r="J21" s="323"/>
      <c r="K21" s="323"/>
      <c r="L21" s="323"/>
      <c r="M21" s="323"/>
      <c r="N21" s="323"/>
      <c r="O21" s="323"/>
      <c r="P21" s="323"/>
      <c r="Q21" s="323"/>
      <c r="R21" s="323"/>
      <c r="S21" s="324"/>
      <c r="T21" s="325">
        <f t="shared" si="9"/>
        <v>12516</v>
      </c>
    </row>
    <row r="22" spans="1:20" ht="12">
      <c r="A22" s="366"/>
      <c r="B22" s="1105" t="s">
        <v>1244</v>
      </c>
      <c r="C22" s="349"/>
      <c r="D22" s="322"/>
      <c r="E22" s="323"/>
      <c r="F22" s="323"/>
      <c r="G22" s="323"/>
      <c r="H22" s="323"/>
      <c r="I22" s="323"/>
      <c r="J22" s="323"/>
      <c r="K22" s="323"/>
      <c r="L22" s="323"/>
      <c r="M22" s="323"/>
      <c r="N22" s="323"/>
      <c r="O22" s="323"/>
      <c r="P22" s="323"/>
      <c r="Q22" s="323"/>
      <c r="R22" s="323"/>
      <c r="S22" s="324"/>
      <c r="T22" s="325">
        <f t="shared" si="9"/>
        <v>0</v>
      </c>
    </row>
    <row r="23" spans="1:20" ht="12">
      <c r="A23" s="366"/>
      <c r="B23" s="321" t="s">
        <v>1247</v>
      </c>
      <c r="C23" s="349"/>
      <c r="D23" s="322"/>
      <c r="E23" s="323"/>
      <c r="F23" s="323"/>
      <c r="G23" s="323"/>
      <c r="H23" s="323"/>
      <c r="I23" s="323"/>
      <c r="J23" s="323"/>
      <c r="K23" s="323"/>
      <c r="L23" s="323"/>
      <c r="M23" s="323"/>
      <c r="N23" s="323"/>
      <c r="O23" s="323"/>
      <c r="P23" s="323"/>
      <c r="Q23" s="323"/>
      <c r="R23" s="323"/>
      <c r="S23" s="324"/>
      <c r="T23" s="325">
        <f t="shared" si="9"/>
        <v>0</v>
      </c>
    </row>
    <row r="24" spans="1:20" ht="12">
      <c r="A24" s="366"/>
      <c r="B24" s="1105" t="s">
        <v>1243</v>
      </c>
      <c r="C24" s="349"/>
      <c r="D24" s="322"/>
      <c r="E24" s="323"/>
      <c r="F24" s="323"/>
      <c r="G24" s="323"/>
      <c r="H24" s="323"/>
      <c r="I24" s="323"/>
      <c r="J24" s="323"/>
      <c r="K24" s="323"/>
      <c r="L24" s="323"/>
      <c r="M24" s="323"/>
      <c r="N24" s="323"/>
      <c r="O24" s="323"/>
      <c r="P24" s="323"/>
      <c r="Q24" s="323"/>
      <c r="R24" s="323"/>
      <c r="S24" s="324"/>
      <c r="T24" s="325">
        <f t="shared" si="9"/>
        <v>0</v>
      </c>
    </row>
    <row r="25" spans="1:20" ht="12">
      <c r="A25" s="366"/>
      <c r="B25" s="1105" t="s">
        <v>1244</v>
      </c>
      <c r="C25" s="349">
        <v>750</v>
      </c>
      <c r="D25" s="322"/>
      <c r="E25" s="323"/>
      <c r="F25" s="323"/>
      <c r="G25" s="323"/>
      <c r="H25" s="323"/>
      <c r="I25" s="323"/>
      <c r="J25" s="323"/>
      <c r="K25" s="323"/>
      <c r="L25" s="323"/>
      <c r="M25" s="323"/>
      <c r="N25" s="323"/>
      <c r="O25" s="323"/>
      <c r="P25" s="323"/>
      <c r="Q25" s="323"/>
      <c r="R25" s="323"/>
      <c r="S25" s="324"/>
      <c r="T25" s="325">
        <f t="shared" si="9"/>
        <v>750</v>
      </c>
    </row>
    <row r="26" spans="1:20" ht="12">
      <c r="A26" s="363" t="s">
        <v>10</v>
      </c>
      <c r="B26" s="304" t="s">
        <v>560</v>
      </c>
      <c r="C26" s="347"/>
      <c r="D26" s="305"/>
      <c r="E26" s="306"/>
      <c r="F26" s="306"/>
      <c r="G26" s="306"/>
      <c r="H26" s="306"/>
      <c r="I26" s="306"/>
      <c r="J26" s="306"/>
      <c r="K26" s="306"/>
      <c r="L26" s="306"/>
      <c r="M26" s="306"/>
      <c r="N26" s="306"/>
      <c r="O26" s="306"/>
      <c r="P26" s="306"/>
      <c r="Q26" s="306"/>
      <c r="R26" s="306"/>
      <c r="S26" s="326"/>
      <c r="T26" s="307">
        <f t="shared" si="9"/>
        <v>0</v>
      </c>
    </row>
    <row r="27" spans="1:20" ht="12">
      <c r="A27" s="363" t="s">
        <v>9</v>
      </c>
      <c r="B27" s="304" t="s">
        <v>561</v>
      </c>
      <c r="C27" s="347"/>
      <c r="D27" s="305"/>
      <c r="E27" s="306"/>
      <c r="F27" s="306"/>
      <c r="G27" s="306"/>
      <c r="H27" s="306"/>
      <c r="I27" s="306"/>
      <c r="J27" s="306"/>
      <c r="K27" s="306"/>
      <c r="L27" s="306"/>
      <c r="M27" s="306"/>
      <c r="N27" s="306"/>
      <c r="O27" s="306"/>
      <c r="P27" s="306"/>
      <c r="Q27" s="306"/>
      <c r="R27" s="306"/>
      <c r="S27" s="326"/>
      <c r="T27" s="307">
        <f aca="true" t="shared" si="10" ref="T27:T33">SUM(C27:S27)</f>
        <v>0</v>
      </c>
    </row>
    <row r="28" spans="1:20" ht="12">
      <c r="A28" s="363" t="s">
        <v>73</v>
      </c>
      <c r="B28" s="304" t="s">
        <v>562</v>
      </c>
      <c r="C28" s="347"/>
      <c r="D28" s="305"/>
      <c r="E28" s="306"/>
      <c r="F28" s="306"/>
      <c r="G28" s="306"/>
      <c r="H28" s="306"/>
      <c r="I28" s="306"/>
      <c r="J28" s="306"/>
      <c r="K28" s="306"/>
      <c r="L28" s="306"/>
      <c r="M28" s="306"/>
      <c r="N28" s="306"/>
      <c r="O28" s="306"/>
      <c r="P28" s="306"/>
      <c r="Q28" s="306"/>
      <c r="R28" s="306"/>
      <c r="S28" s="326"/>
      <c r="T28" s="307">
        <f t="shared" si="10"/>
        <v>0</v>
      </c>
    </row>
    <row r="29" spans="1:20" ht="12">
      <c r="A29" s="363" t="s">
        <v>72</v>
      </c>
      <c r="B29" s="304" t="s">
        <v>563</v>
      </c>
      <c r="C29" s="347"/>
      <c r="D29" s="305"/>
      <c r="E29" s="306"/>
      <c r="F29" s="306"/>
      <c r="G29" s="306"/>
      <c r="H29" s="306"/>
      <c r="I29" s="306"/>
      <c r="J29" s="306"/>
      <c r="K29" s="306"/>
      <c r="L29" s="306"/>
      <c r="M29" s="306"/>
      <c r="N29" s="306"/>
      <c r="O29" s="306"/>
      <c r="P29" s="306"/>
      <c r="Q29" s="306"/>
      <c r="R29" s="306"/>
      <c r="S29" s="326"/>
      <c r="T29" s="307">
        <f t="shared" si="10"/>
        <v>0</v>
      </c>
    </row>
    <row r="30" spans="1:20" ht="36">
      <c r="A30" s="363" t="s">
        <v>71</v>
      </c>
      <c r="B30" s="304" t="s">
        <v>1284</v>
      </c>
      <c r="C30" s="347"/>
      <c r="D30" s="305"/>
      <c r="E30" s="306"/>
      <c r="F30" s="306"/>
      <c r="G30" s="306"/>
      <c r="H30" s="306"/>
      <c r="I30" s="306"/>
      <c r="J30" s="306"/>
      <c r="K30" s="306"/>
      <c r="L30" s="306"/>
      <c r="M30" s="306"/>
      <c r="N30" s="306"/>
      <c r="O30" s="306"/>
      <c r="P30" s="306"/>
      <c r="Q30" s="306"/>
      <c r="R30" s="306"/>
      <c r="S30" s="326"/>
      <c r="T30" s="307">
        <f t="shared" si="10"/>
        <v>0</v>
      </c>
    </row>
    <row r="31" spans="1:20" ht="12">
      <c r="A31" s="363" t="s">
        <v>68</v>
      </c>
      <c r="B31" s="304" t="s">
        <v>1283</v>
      </c>
      <c r="C31" s="347">
        <v>50000</v>
      </c>
      <c r="D31" s="305">
        <v>50000</v>
      </c>
      <c r="E31" s="306">
        <v>50000</v>
      </c>
      <c r="F31" s="306"/>
      <c r="G31" s="306"/>
      <c r="H31" s="306"/>
      <c r="I31" s="306"/>
      <c r="J31" s="306"/>
      <c r="K31" s="306"/>
      <c r="L31" s="306"/>
      <c r="M31" s="306"/>
      <c r="N31" s="306"/>
      <c r="O31" s="306"/>
      <c r="P31" s="306"/>
      <c r="Q31" s="306"/>
      <c r="R31" s="306"/>
      <c r="S31" s="326"/>
      <c r="T31" s="307">
        <f t="shared" si="10"/>
        <v>150000</v>
      </c>
    </row>
    <row r="32" spans="1:20" ht="36">
      <c r="A32" s="363" t="s">
        <v>67</v>
      </c>
      <c r="B32" s="327" t="s">
        <v>1285</v>
      </c>
      <c r="C32" s="347"/>
      <c r="D32" s="309"/>
      <c r="E32" s="310"/>
      <c r="F32" s="310"/>
      <c r="G32" s="310"/>
      <c r="H32" s="310"/>
      <c r="I32" s="310"/>
      <c r="J32" s="310"/>
      <c r="K32" s="310"/>
      <c r="L32" s="310"/>
      <c r="M32" s="310"/>
      <c r="N32" s="310"/>
      <c r="O32" s="310"/>
      <c r="P32" s="310"/>
      <c r="Q32" s="310"/>
      <c r="R32" s="310"/>
      <c r="S32" s="328"/>
      <c r="T32" s="307">
        <f t="shared" si="10"/>
        <v>0</v>
      </c>
    </row>
    <row r="33" spans="1:20" ht="12.75" thickBot="1">
      <c r="A33" s="363" t="s">
        <v>66</v>
      </c>
      <c r="B33" s="327" t="s">
        <v>564</v>
      </c>
      <c r="C33" s="347"/>
      <c r="D33" s="309"/>
      <c r="E33" s="310"/>
      <c r="F33" s="310"/>
      <c r="G33" s="310"/>
      <c r="H33" s="310"/>
      <c r="I33" s="310"/>
      <c r="J33" s="310"/>
      <c r="K33" s="310"/>
      <c r="L33" s="310"/>
      <c r="M33" s="310"/>
      <c r="N33" s="310"/>
      <c r="O33" s="310"/>
      <c r="P33" s="310"/>
      <c r="Q33" s="310"/>
      <c r="R33" s="310"/>
      <c r="S33" s="328"/>
      <c r="T33" s="307">
        <f t="shared" si="10"/>
        <v>0</v>
      </c>
    </row>
    <row r="34" spans="1:20" ht="27" thickBot="1">
      <c r="A34" s="365" t="s">
        <v>65</v>
      </c>
      <c r="B34" s="312" t="s">
        <v>1287</v>
      </c>
      <c r="C34" s="319">
        <f>+C35+C36+C37+C38+C39+C40+C41+C42+C43</f>
        <v>0</v>
      </c>
      <c r="D34" s="316">
        <f aca="true" t="shared" si="11" ref="D34:T34">+D35+D36+D37+D38+D39+D40+D41+D42+D43</f>
        <v>0</v>
      </c>
      <c r="E34" s="317">
        <f t="shared" si="11"/>
        <v>0</v>
      </c>
      <c r="F34" s="317">
        <f t="shared" si="11"/>
        <v>0</v>
      </c>
      <c r="G34" s="317">
        <f t="shared" si="11"/>
        <v>0</v>
      </c>
      <c r="H34" s="317">
        <f t="shared" si="11"/>
        <v>0</v>
      </c>
      <c r="I34" s="317">
        <f t="shared" si="11"/>
        <v>0</v>
      </c>
      <c r="J34" s="317">
        <f t="shared" si="11"/>
        <v>0</v>
      </c>
      <c r="K34" s="317">
        <f t="shared" si="11"/>
        <v>0</v>
      </c>
      <c r="L34" s="317">
        <f t="shared" si="11"/>
        <v>0</v>
      </c>
      <c r="M34" s="317">
        <f t="shared" si="11"/>
        <v>0</v>
      </c>
      <c r="N34" s="317">
        <f t="shared" si="11"/>
        <v>0</v>
      </c>
      <c r="O34" s="317">
        <f t="shared" si="11"/>
        <v>0</v>
      </c>
      <c r="P34" s="317">
        <f t="shared" si="11"/>
        <v>0</v>
      </c>
      <c r="Q34" s="317">
        <f t="shared" si="11"/>
        <v>0</v>
      </c>
      <c r="R34" s="317">
        <f t="shared" si="11"/>
        <v>0</v>
      </c>
      <c r="S34" s="318">
        <f t="shared" si="11"/>
        <v>0</v>
      </c>
      <c r="T34" s="319">
        <f t="shared" si="11"/>
        <v>0</v>
      </c>
    </row>
    <row r="35" spans="1:20" ht="12">
      <c r="A35" s="362" t="s">
        <v>64</v>
      </c>
      <c r="B35" s="300" t="s">
        <v>559</v>
      </c>
      <c r="C35" s="346"/>
      <c r="D35" s="301"/>
      <c r="E35" s="302"/>
      <c r="F35" s="302"/>
      <c r="G35" s="302"/>
      <c r="H35" s="302"/>
      <c r="I35" s="302"/>
      <c r="J35" s="302"/>
      <c r="K35" s="302"/>
      <c r="L35" s="302"/>
      <c r="M35" s="302"/>
      <c r="N35" s="302"/>
      <c r="O35" s="302"/>
      <c r="P35" s="302"/>
      <c r="Q35" s="302"/>
      <c r="R35" s="302"/>
      <c r="S35" s="320"/>
      <c r="T35" s="307">
        <f aca="true" t="shared" si="12" ref="T35:T43">SUM(C35:S35)</f>
        <v>0</v>
      </c>
    </row>
    <row r="36" spans="1:20" ht="12">
      <c r="A36" s="363" t="s">
        <v>63</v>
      </c>
      <c r="B36" s="304" t="s">
        <v>560</v>
      </c>
      <c r="C36" s="347"/>
      <c r="D36" s="305"/>
      <c r="E36" s="306"/>
      <c r="F36" s="306"/>
      <c r="G36" s="306"/>
      <c r="H36" s="306"/>
      <c r="I36" s="306"/>
      <c r="J36" s="306"/>
      <c r="K36" s="306"/>
      <c r="L36" s="306"/>
      <c r="M36" s="306"/>
      <c r="N36" s="306"/>
      <c r="O36" s="306"/>
      <c r="P36" s="306"/>
      <c r="Q36" s="306"/>
      <c r="R36" s="306"/>
      <c r="S36" s="326"/>
      <c r="T36" s="307">
        <f t="shared" si="12"/>
        <v>0</v>
      </c>
    </row>
    <row r="37" spans="1:20" ht="12">
      <c r="A37" s="363" t="s">
        <v>62</v>
      </c>
      <c r="B37" s="304" t="s">
        <v>561</v>
      </c>
      <c r="C37" s="347"/>
      <c r="D37" s="305"/>
      <c r="E37" s="306"/>
      <c r="F37" s="306"/>
      <c r="G37" s="306"/>
      <c r="H37" s="306"/>
      <c r="I37" s="306"/>
      <c r="J37" s="306"/>
      <c r="K37" s="306"/>
      <c r="L37" s="306"/>
      <c r="M37" s="306"/>
      <c r="N37" s="306"/>
      <c r="O37" s="306"/>
      <c r="P37" s="306"/>
      <c r="Q37" s="306"/>
      <c r="R37" s="306"/>
      <c r="S37" s="326"/>
      <c r="T37" s="307">
        <f t="shared" si="12"/>
        <v>0</v>
      </c>
    </row>
    <row r="38" spans="1:20" ht="12">
      <c r="A38" s="363" t="s">
        <v>61</v>
      </c>
      <c r="B38" s="304" t="s">
        <v>562</v>
      </c>
      <c r="C38" s="347"/>
      <c r="D38" s="305"/>
      <c r="E38" s="306"/>
      <c r="F38" s="306"/>
      <c r="G38" s="306"/>
      <c r="H38" s="306"/>
      <c r="I38" s="306"/>
      <c r="J38" s="306"/>
      <c r="K38" s="306"/>
      <c r="L38" s="306"/>
      <c r="M38" s="306"/>
      <c r="N38" s="306"/>
      <c r="O38" s="306"/>
      <c r="P38" s="306"/>
      <c r="Q38" s="306"/>
      <c r="R38" s="306"/>
      <c r="S38" s="326"/>
      <c r="T38" s="307">
        <f t="shared" si="12"/>
        <v>0</v>
      </c>
    </row>
    <row r="39" spans="1:20" ht="12">
      <c r="A39" s="363" t="s">
        <v>565</v>
      </c>
      <c r="B39" s="304" t="s">
        <v>563</v>
      </c>
      <c r="C39" s="347"/>
      <c r="D39" s="305"/>
      <c r="E39" s="306"/>
      <c r="F39" s="306"/>
      <c r="G39" s="306"/>
      <c r="H39" s="306"/>
      <c r="I39" s="306"/>
      <c r="J39" s="306"/>
      <c r="K39" s="306"/>
      <c r="L39" s="306"/>
      <c r="M39" s="306"/>
      <c r="N39" s="306"/>
      <c r="O39" s="306"/>
      <c r="P39" s="306"/>
      <c r="Q39" s="306"/>
      <c r="R39" s="306"/>
      <c r="S39" s="326"/>
      <c r="T39" s="307">
        <f t="shared" si="12"/>
        <v>0</v>
      </c>
    </row>
    <row r="40" spans="1:20" ht="36">
      <c r="A40" s="363" t="s">
        <v>566</v>
      </c>
      <c r="B40" s="304" t="s">
        <v>1284</v>
      </c>
      <c r="C40" s="347"/>
      <c r="D40" s="305"/>
      <c r="E40" s="306"/>
      <c r="F40" s="306"/>
      <c r="G40" s="306"/>
      <c r="H40" s="306"/>
      <c r="I40" s="306"/>
      <c r="J40" s="306"/>
      <c r="K40" s="306"/>
      <c r="L40" s="306"/>
      <c r="M40" s="306"/>
      <c r="N40" s="306"/>
      <c r="O40" s="306"/>
      <c r="P40" s="306"/>
      <c r="Q40" s="306"/>
      <c r="R40" s="306"/>
      <c r="S40" s="326"/>
      <c r="T40" s="307">
        <f>SUM(C40:S40)</f>
        <v>0</v>
      </c>
    </row>
    <row r="41" spans="1:20" ht="12">
      <c r="A41" s="363" t="s">
        <v>567</v>
      </c>
      <c r="B41" s="304" t="s">
        <v>1283</v>
      </c>
      <c r="C41" s="347"/>
      <c r="D41" s="305"/>
      <c r="E41" s="306"/>
      <c r="F41" s="306"/>
      <c r="G41" s="306"/>
      <c r="H41" s="306"/>
      <c r="I41" s="306"/>
      <c r="J41" s="306"/>
      <c r="K41" s="306"/>
      <c r="L41" s="306"/>
      <c r="M41" s="306"/>
      <c r="N41" s="306"/>
      <c r="O41" s="306"/>
      <c r="P41" s="306"/>
      <c r="Q41" s="306"/>
      <c r="R41" s="306"/>
      <c r="S41" s="326"/>
      <c r="T41" s="307">
        <f t="shared" si="12"/>
        <v>0</v>
      </c>
    </row>
    <row r="42" spans="1:20" ht="36">
      <c r="A42" s="363" t="s">
        <v>568</v>
      </c>
      <c r="B42" s="327" t="s">
        <v>1285</v>
      </c>
      <c r="C42" s="347"/>
      <c r="D42" s="309"/>
      <c r="E42" s="310"/>
      <c r="F42" s="310"/>
      <c r="G42" s="310"/>
      <c r="H42" s="310"/>
      <c r="I42" s="310"/>
      <c r="J42" s="310"/>
      <c r="K42" s="310"/>
      <c r="L42" s="310"/>
      <c r="M42" s="310"/>
      <c r="N42" s="310"/>
      <c r="O42" s="310"/>
      <c r="P42" s="310"/>
      <c r="Q42" s="310"/>
      <c r="R42" s="310"/>
      <c r="S42" s="328"/>
      <c r="T42" s="307">
        <f>SUM(C42:S42)</f>
        <v>0</v>
      </c>
    </row>
    <row r="43" spans="1:20" ht="12.75" thickBot="1">
      <c r="A43" s="363" t="s">
        <v>601</v>
      </c>
      <c r="B43" s="327" t="s">
        <v>564</v>
      </c>
      <c r="C43" s="348"/>
      <c r="D43" s="309"/>
      <c r="E43" s="310"/>
      <c r="F43" s="310"/>
      <c r="G43" s="310"/>
      <c r="H43" s="310"/>
      <c r="I43" s="310"/>
      <c r="J43" s="310"/>
      <c r="K43" s="310"/>
      <c r="L43" s="310"/>
      <c r="M43" s="310"/>
      <c r="N43" s="310"/>
      <c r="O43" s="310"/>
      <c r="P43" s="310"/>
      <c r="Q43" s="310"/>
      <c r="R43" s="310"/>
      <c r="S43" s="328"/>
      <c r="T43" s="311">
        <f t="shared" si="12"/>
        <v>0</v>
      </c>
    </row>
    <row r="44" spans="1:20" ht="12.75" thickBot="1">
      <c r="A44" s="365" t="s">
        <v>603</v>
      </c>
      <c r="B44" s="312" t="s">
        <v>1288</v>
      </c>
      <c r="C44" s="319">
        <f aca="true" t="shared" si="13" ref="C44:T44">+C15+C34</f>
        <v>72020</v>
      </c>
      <c r="D44" s="316">
        <f t="shared" si="13"/>
        <v>50000</v>
      </c>
      <c r="E44" s="317">
        <f t="shared" si="13"/>
        <v>50000</v>
      </c>
      <c r="F44" s="317">
        <f t="shared" si="13"/>
        <v>0</v>
      </c>
      <c r="G44" s="317">
        <f t="shared" si="13"/>
        <v>0</v>
      </c>
      <c r="H44" s="317">
        <f t="shared" si="13"/>
        <v>0</v>
      </c>
      <c r="I44" s="317">
        <f t="shared" si="13"/>
        <v>0</v>
      </c>
      <c r="J44" s="317">
        <f t="shared" si="13"/>
        <v>0</v>
      </c>
      <c r="K44" s="317">
        <f t="shared" si="13"/>
        <v>0</v>
      </c>
      <c r="L44" s="317">
        <f t="shared" si="13"/>
        <v>0</v>
      </c>
      <c r="M44" s="317">
        <f t="shared" si="13"/>
        <v>0</v>
      </c>
      <c r="N44" s="317">
        <f t="shared" si="13"/>
        <v>0</v>
      </c>
      <c r="O44" s="317">
        <f t="shared" si="13"/>
        <v>0</v>
      </c>
      <c r="P44" s="317">
        <f t="shared" si="13"/>
        <v>0</v>
      </c>
      <c r="Q44" s="317">
        <f t="shared" si="13"/>
        <v>0</v>
      </c>
      <c r="R44" s="317">
        <f t="shared" si="13"/>
        <v>0</v>
      </c>
      <c r="S44" s="318">
        <f t="shared" si="13"/>
        <v>0</v>
      </c>
      <c r="T44" s="319">
        <f t="shared" si="13"/>
        <v>172020</v>
      </c>
    </row>
    <row r="45" spans="1:20" ht="24.75" thickBot="1">
      <c r="A45" s="367" t="s">
        <v>604</v>
      </c>
      <c r="B45" s="329" t="s">
        <v>1289</v>
      </c>
      <c r="C45" s="333">
        <f aca="true" t="shared" si="14" ref="C45:T45">+C14-C44</f>
        <v>72077</v>
      </c>
      <c r="D45" s="330">
        <f t="shared" si="14"/>
        <v>97246</v>
      </c>
      <c r="E45" s="331">
        <f t="shared" si="14"/>
        <v>100883</v>
      </c>
      <c r="F45" s="331">
        <f t="shared" si="14"/>
        <v>154761</v>
      </c>
      <c r="G45" s="331">
        <f t="shared" si="14"/>
        <v>154761</v>
      </c>
      <c r="H45" s="331">
        <f t="shared" si="14"/>
        <v>154761</v>
      </c>
      <c r="I45" s="331">
        <f t="shared" si="14"/>
        <v>154761</v>
      </c>
      <c r="J45" s="331">
        <f t="shared" si="14"/>
        <v>154761</v>
      </c>
      <c r="K45" s="331">
        <f t="shared" si="14"/>
        <v>154761</v>
      </c>
      <c r="L45" s="331">
        <f t="shared" si="14"/>
        <v>154761</v>
      </c>
      <c r="M45" s="331">
        <f t="shared" si="14"/>
        <v>154761</v>
      </c>
      <c r="N45" s="331">
        <f t="shared" si="14"/>
        <v>154761</v>
      </c>
      <c r="O45" s="331">
        <f t="shared" si="14"/>
        <v>154761</v>
      </c>
      <c r="P45" s="331">
        <f t="shared" si="14"/>
        <v>154761</v>
      </c>
      <c r="Q45" s="331">
        <f t="shared" si="14"/>
        <v>154761</v>
      </c>
      <c r="R45" s="331">
        <f t="shared" si="14"/>
        <v>154761</v>
      </c>
      <c r="S45" s="332">
        <f t="shared" si="14"/>
        <v>154761</v>
      </c>
      <c r="T45" s="333">
        <f t="shared" si="14"/>
        <v>2436860</v>
      </c>
    </row>
    <row r="46" spans="1:20" ht="13.5">
      <c r="A46" s="1326" t="s">
        <v>572</v>
      </c>
      <c r="B46" s="1326"/>
      <c r="C46" s="1326"/>
      <c r="D46" s="1326"/>
      <c r="E46" s="1326"/>
      <c r="F46" s="1326"/>
      <c r="G46" s="1326"/>
      <c r="H46" s="1326"/>
      <c r="I46" s="1326"/>
      <c r="J46" s="1326"/>
      <c r="K46" s="1326"/>
      <c r="L46" s="1326"/>
      <c r="M46" s="1326"/>
      <c r="N46" s="1326"/>
      <c r="O46" s="1326"/>
      <c r="P46" s="1326"/>
      <c r="Q46" s="1326"/>
      <c r="R46" s="1326"/>
      <c r="S46" s="1326"/>
      <c r="T46" s="1326"/>
    </row>
    <row r="47" spans="1:20" ht="13.5">
      <c r="A47" s="1327" t="s">
        <v>1302</v>
      </c>
      <c r="B47" s="1327"/>
      <c r="C47" s="1327"/>
      <c r="D47" s="1327"/>
      <c r="E47" s="1327"/>
      <c r="F47" s="1327"/>
      <c r="G47" s="1327"/>
      <c r="H47" s="1327"/>
      <c r="I47" s="1327"/>
      <c r="J47" s="1327"/>
      <c r="K47" s="1327"/>
      <c r="L47" s="1327"/>
      <c r="M47" s="1327"/>
      <c r="N47" s="1327"/>
      <c r="O47" s="1327"/>
      <c r="P47" s="1327"/>
      <c r="Q47" s="1327"/>
      <c r="R47" s="1327"/>
      <c r="S47" s="1327"/>
      <c r="T47" s="1327"/>
    </row>
    <row r="48" spans="1:20" ht="49.5" customHeight="1">
      <c r="A48" s="1328" t="s">
        <v>1303</v>
      </c>
      <c r="B48" s="1328"/>
      <c r="C48" s="1328"/>
      <c r="D48" s="1328"/>
      <c r="E48" s="1328"/>
      <c r="F48" s="1328"/>
      <c r="G48" s="1328"/>
      <c r="H48" s="1328"/>
      <c r="I48" s="1328"/>
      <c r="J48" s="1328"/>
      <c r="K48" s="1328"/>
      <c r="L48" s="1328"/>
      <c r="M48" s="1328"/>
      <c r="N48" s="1328"/>
      <c r="O48" s="1328"/>
      <c r="P48" s="1328"/>
      <c r="Q48" s="1328"/>
      <c r="R48" s="1328"/>
      <c r="S48" s="1328"/>
      <c r="T48" s="1328"/>
    </row>
    <row r="50" spans="1:20" ht="15.75">
      <c r="A50" s="1329" t="s">
        <v>1096</v>
      </c>
      <c r="B50" s="1329"/>
      <c r="C50" s="1329"/>
      <c r="D50" s="1329"/>
      <c r="E50" s="1329"/>
      <c r="F50" s="1329"/>
      <c r="G50" s="1329"/>
      <c r="H50" s="1329"/>
      <c r="I50" s="209"/>
      <c r="J50" s="209"/>
      <c r="K50" s="209"/>
      <c r="L50" s="209"/>
      <c r="M50" s="209"/>
      <c r="N50" s="209"/>
      <c r="O50" s="209"/>
      <c r="P50" s="209"/>
      <c r="Q50" s="209"/>
      <c r="R50" s="209"/>
      <c r="S50" s="209"/>
      <c r="T50" s="209"/>
    </row>
    <row r="51" spans="1:20" ht="12">
      <c r="A51" s="334"/>
      <c r="B51" s="334"/>
      <c r="C51" s="334"/>
      <c r="D51" s="209"/>
      <c r="E51" s="209"/>
      <c r="F51" s="209"/>
      <c r="G51" s="209"/>
      <c r="H51" s="209"/>
      <c r="I51" s="209"/>
      <c r="J51" s="209"/>
      <c r="K51" s="209"/>
      <c r="L51" s="209"/>
      <c r="M51" s="209"/>
      <c r="N51" s="209"/>
      <c r="O51" s="209"/>
      <c r="P51" s="209"/>
      <c r="Q51" s="209"/>
      <c r="R51" s="209"/>
      <c r="S51" s="209"/>
      <c r="T51" s="209"/>
    </row>
    <row r="52" spans="1:20" ht="12.75" thickBot="1">
      <c r="A52" s="335"/>
      <c r="B52" s="335"/>
      <c r="C52" s="336" t="s">
        <v>77</v>
      </c>
      <c r="D52" s="209"/>
      <c r="E52" s="209"/>
      <c r="F52" s="209"/>
      <c r="G52" s="209"/>
      <c r="H52" s="209"/>
      <c r="I52" s="209"/>
      <c r="J52" s="209"/>
      <c r="K52" s="209"/>
      <c r="L52" s="209"/>
      <c r="M52" s="209"/>
      <c r="N52" s="209"/>
      <c r="O52" s="209"/>
      <c r="P52" s="209"/>
      <c r="Q52" s="209"/>
      <c r="R52" s="337"/>
      <c r="S52" s="209"/>
      <c r="T52" s="209"/>
    </row>
    <row r="53" spans="1:20" ht="36.75" thickBot="1">
      <c r="A53" s="338" t="s">
        <v>17</v>
      </c>
      <c r="B53" s="350" t="s">
        <v>569</v>
      </c>
      <c r="C53" s="356" t="s">
        <v>570</v>
      </c>
      <c r="D53" s="209"/>
      <c r="E53" s="209"/>
      <c r="F53" s="209"/>
      <c r="G53" s="209"/>
      <c r="H53" s="209"/>
      <c r="I53" s="209"/>
      <c r="J53" s="209"/>
      <c r="K53" s="209"/>
      <c r="L53" s="209"/>
      <c r="M53" s="209"/>
      <c r="N53" s="209"/>
      <c r="O53" s="209"/>
      <c r="P53" s="209"/>
      <c r="Q53" s="209"/>
      <c r="R53" s="337"/>
      <c r="S53" s="209"/>
      <c r="T53" s="209"/>
    </row>
    <row r="54" spans="1:20" ht="12.75" thickBot="1">
      <c r="A54" s="339">
        <v>1</v>
      </c>
      <c r="B54" s="351">
        <v>2</v>
      </c>
      <c r="C54" s="357">
        <v>3</v>
      </c>
      <c r="D54" s="209"/>
      <c r="E54" s="209"/>
      <c r="F54" s="209"/>
      <c r="G54" s="209"/>
      <c r="H54" s="209"/>
      <c r="I54" s="209"/>
      <c r="J54" s="209"/>
      <c r="K54" s="209"/>
      <c r="L54" s="209"/>
      <c r="M54" s="209"/>
      <c r="N54" s="209"/>
      <c r="O54" s="209"/>
      <c r="P54" s="209"/>
      <c r="Q54" s="209"/>
      <c r="R54" s="337"/>
      <c r="S54" s="209"/>
      <c r="T54" s="209"/>
    </row>
    <row r="55" spans="1:20" ht="12">
      <c r="A55" s="340" t="s">
        <v>4</v>
      </c>
      <c r="B55" s="352" t="s">
        <v>38</v>
      </c>
      <c r="C55" s="358"/>
      <c r="D55" s="209"/>
      <c r="E55" s="209"/>
      <c r="F55" s="209"/>
      <c r="G55" s="209"/>
      <c r="H55" s="209"/>
      <c r="I55" s="209"/>
      <c r="J55" s="209"/>
      <c r="K55" s="209"/>
      <c r="L55" s="209"/>
      <c r="M55" s="209"/>
      <c r="N55" s="209"/>
      <c r="O55" s="209"/>
      <c r="P55" s="209"/>
      <c r="Q55" s="209"/>
      <c r="R55" s="337"/>
      <c r="S55" s="209"/>
      <c r="T55" s="209"/>
    </row>
    <row r="56" spans="1:20" ht="12">
      <c r="A56" s="341" t="s">
        <v>5</v>
      </c>
      <c r="B56" s="353"/>
      <c r="C56" s="359"/>
      <c r="D56" s="209"/>
      <c r="E56" s="209"/>
      <c r="F56" s="209"/>
      <c r="G56" s="209"/>
      <c r="H56" s="209"/>
      <c r="I56" s="209"/>
      <c r="J56" s="209"/>
      <c r="K56" s="209"/>
      <c r="L56" s="209"/>
      <c r="M56" s="209"/>
      <c r="N56" s="209"/>
      <c r="O56" s="209"/>
      <c r="P56" s="209"/>
      <c r="Q56" s="209"/>
      <c r="R56" s="337"/>
      <c r="S56" s="209"/>
      <c r="T56" s="209"/>
    </row>
    <row r="57" spans="1:20" ht="12.75" thickBot="1">
      <c r="A57" s="342" t="s">
        <v>6</v>
      </c>
      <c r="B57" s="354"/>
      <c r="C57" s="360"/>
      <c r="D57" s="209"/>
      <c r="E57" s="209"/>
      <c r="F57" s="209"/>
      <c r="G57" s="209"/>
      <c r="H57" s="209"/>
      <c r="I57" s="209"/>
      <c r="J57" s="209"/>
      <c r="K57" s="209"/>
      <c r="L57" s="209"/>
      <c r="M57" s="209"/>
      <c r="N57" s="209"/>
      <c r="O57" s="209"/>
      <c r="P57" s="209"/>
      <c r="Q57" s="209"/>
      <c r="R57" s="337"/>
      <c r="S57" s="209"/>
      <c r="T57" s="209"/>
    </row>
    <row r="58" spans="1:20" ht="24.75" thickBot="1">
      <c r="A58" s="343" t="s">
        <v>3</v>
      </c>
      <c r="B58" s="355" t="s">
        <v>1278</v>
      </c>
      <c r="C58" s="361">
        <f>SUM(C55:C57)</f>
        <v>0</v>
      </c>
      <c r="D58" s="209"/>
      <c r="E58" s="209"/>
      <c r="F58" s="209"/>
      <c r="G58" s="209"/>
      <c r="H58" s="209"/>
      <c r="I58" s="209"/>
      <c r="J58" s="209"/>
      <c r="K58" s="209"/>
      <c r="L58" s="209"/>
      <c r="M58" s="209"/>
      <c r="N58" s="209"/>
      <c r="O58" s="209"/>
      <c r="P58" s="209"/>
      <c r="Q58" s="209"/>
      <c r="R58" s="337"/>
      <c r="S58" s="209"/>
      <c r="T58" s="209"/>
    </row>
    <row r="59" spans="1:20" ht="12">
      <c r="A59" s="209"/>
      <c r="B59" s="209"/>
      <c r="C59" s="209"/>
      <c r="D59" s="209"/>
      <c r="E59" s="209"/>
      <c r="F59" s="209"/>
      <c r="G59" s="209"/>
      <c r="H59" s="209"/>
      <c r="I59" s="209"/>
      <c r="J59" s="209"/>
      <c r="K59" s="209"/>
      <c r="L59" s="209"/>
      <c r="M59" s="209"/>
      <c r="N59" s="209"/>
      <c r="O59" s="209"/>
      <c r="P59" s="209"/>
      <c r="Q59" s="209"/>
      <c r="R59" s="337"/>
      <c r="S59" s="209"/>
      <c r="T59" s="209"/>
    </row>
    <row r="60" spans="1:20" ht="12">
      <c r="A60" s="209"/>
      <c r="B60" s="209"/>
      <c r="C60" s="209"/>
      <c r="D60" s="209"/>
      <c r="E60" s="209"/>
      <c r="F60" s="209"/>
      <c r="G60" s="209"/>
      <c r="H60" s="209"/>
      <c r="I60" s="209"/>
      <c r="J60" s="209"/>
      <c r="K60" s="209"/>
      <c r="L60" s="209"/>
      <c r="M60" s="209"/>
      <c r="N60" s="209"/>
      <c r="O60" s="209"/>
      <c r="P60" s="209"/>
      <c r="Q60" s="209"/>
      <c r="R60" s="337"/>
      <c r="S60" s="209"/>
      <c r="T60" s="209"/>
    </row>
  </sheetData>
  <sheetProtection/>
  <mergeCells count="9">
    <mergeCell ref="T4:T5"/>
    <mergeCell ref="A46:T46"/>
    <mergeCell ref="A47:T47"/>
    <mergeCell ref="A48:T48"/>
    <mergeCell ref="A50:H50"/>
    <mergeCell ref="A2:T2"/>
    <mergeCell ref="A4:A5"/>
    <mergeCell ref="B4:B5"/>
    <mergeCell ref="C4:S4"/>
  </mergeCells>
  <printOptions/>
  <pageMargins left="0.7086614173228347" right="0.7086614173228347" top="0.49" bottom="0.7480314960629921" header="0.31496062992125984" footer="0.31496062992125984"/>
  <pageSetup fitToHeight="1" fitToWidth="1" horizontalDpi="600" verticalDpi="600" orientation="landscape" paperSize="9" scale="5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43"/>
  <sheetViews>
    <sheetView zoomScale="80" zoomScaleNormal="80" zoomScalePageLayoutView="0" workbookViewId="0" topLeftCell="A1">
      <selection activeCell="I1" sqref="I1"/>
    </sheetView>
  </sheetViews>
  <sheetFormatPr defaultColWidth="9.00390625" defaultRowHeight="12.75"/>
  <cols>
    <col min="1" max="1" width="4.875" style="217" bestFit="1" customWidth="1"/>
    <col min="2" max="2" width="82.625" style="217" customWidth="1"/>
    <col min="3" max="8" width="10.125" style="217" customWidth="1"/>
    <col min="9" max="9" width="13.125" style="217" bestFit="1" customWidth="1"/>
    <col min="10" max="16384" width="9.125" style="217" customWidth="1"/>
  </cols>
  <sheetData>
    <row r="1" spans="1:9" s="218" customFormat="1" ht="15.75">
      <c r="A1" s="392"/>
      <c r="B1" s="391"/>
      <c r="C1" s="391"/>
      <c r="D1" s="391"/>
      <c r="E1" s="391"/>
      <c r="F1" s="391"/>
      <c r="G1" s="391"/>
      <c r="H1" s="208"/>
      <c r="I1" s="223" t="s">
        <v>1404</v>
      </c>
    </row>
    <row r="2" spans="1:9" s="219" customFormat="1" ht="15.75">
      <c r="A2" s="1250" t="s">
        <v>575</v>
      </c>
      <c r="B2" s="1250"/>
      <c r="C2" s="1250"/>
      <c r="D2" s="1250"/>
      <c r="E2" s="1250"/>
      <c r="F2" s="1250"/>
      <c r="G2" s="1250"/>
      <c r="H2" s="1250"/>
      <c r="I2" s="1250"/>
    </row>
    <row r="3" spans="1:9" ht="12">
      <c r="A3" s="1340"/>
      <c r="B3" s="1340"/>
      <c r="C3" s="1340"/>
      <c r="D3" s="1340"/>
      <c r="E3" s="1340"/>
      <c r="F3" s="1340"/>
      <c r="G3" s="1340"/>
      <c r="H3" s="1340"/>
      <c r="I3" s="1340"/>
    </row>
    <row r="4" spans="1:9" ht="12.75" thickBot="1">
      <c r="A4" s="387"/>
      <c r="B4" s="393"/>
      <c r="C4" s="393"/>
      <c r="D4" s="393"/>
      <c r="E4" s="393"/>
      <c r="F4" s="393"/>
      <c r="G4" s="393"/>
      <c r="H4" s="393"/>
      <c r="I4" s="295" t="s">
        <v>543</v>
      </c>
    </row>
    <row r="5" spans="1:9" ht="12.75" thickBot="1">
      <c r="A5" s="1272" t="s">
        <v>8</v>
      </c>
      <c r="B5" s="1341" t="s">
        <v>576</v>
      </c>
      <c r="C5" s="1272" t="s">
        <v>577</v>
      </c>
      <c r="D5" s="1272" t="s">
        <v>612</v>
      </c>
      <c r="E5" s="1343" t="s">
        <v>578</v>
      </c>
      <c r="F5" s="1344"/>
      <c r="G5" s="1344"/>
      <c r="H5" s="1345"/>
      <c r="I5" s="1341" t="s">
        <v>18</v>
      </c>
    </row>
    <row r="6" spans="1:9" ht="24.75" thickBot="1">
      <c r="A6" s="1273"/>
      <c r="B6" s="1342"/>
      <c r="C6" s="1342"/>
      <c r="D6" s="1273"/>
      <c r="E6" s="400" t="s">
        <v>419</v>
      </c>
      <c r="F6" s="399" t="s">
        <v>510</v>
      </c>
      <c r="G6" s="402" t="s">
        <v>527</v>
      </c>
      <c r="H6" s="403" t="s">
        <v>528</v>
      </c>
      <c r="I6" s="1342"/>
    </row>
    <row r="7" spans="1:9" ht="12.75" thickBot="1">
      <c r="A7" s="397">
        <v>1</v>
      </c>
      <c r="B7" s="394">
        <v>2</v>
      </c>
      <c r="C7" s="386">
        <v>3</v>
      </c>
      <c r="D7" s="394">
        <v>4</v>
      </c>
      <c r="E7" s="397">
        <v>5</v>
      </c>
      <c r="F7" s="385">
        <v>6</v>
      </c>
      <c r="G7" s="384">
        <v>7</v>
      </c>
      <c r="H7" s="383">
        <v>8</v>
      </c>
      <c r="I7" s="382" t="s">
        <v>579</v>
      </c>
    </row>
    <row r="8" spans="1:9" ht="12.75" thickBot="1">
      <c r="A8" s="390" t="s">
        <v>4</v>
      </c>
      <c r="B8" s="395" t="s">
        <v>580</v>
      </c>
      <c r="C8" s="381" t="s">
        <v>38</v>
      </c>
      <c r="D8" s="401">
        <f aca="true" t="shared" si="0" ref="D8:I8">SUM(D9:D20)</f>
        <v>2191</v>
      </c>
      <c r="E8" s="401">
        <f t="shared" si="0"/>
        <v>22020</v>
      </c>
      <c r="F8" s="380">
        <f t="shared" si="0"/>
        <v>0</v>
      </c>
      <c r="G8" s="379">
        <f t="shared" si="0"/>
        <v>0</v>
      </c>
      <c r="H8" s="396">
        <f t="shared" si="0"/>
        <v>0</v>
      </c>
      <c r="I8" s="378">
        <f t="shared" si="0"/>
        <v>24211</v>
      </c>
    </row>
    <row r="9" spans="1:9" ht="12">
      <c r="A9" s="377" t="s">
        <v>5</v>
      </c>
      <c r="B9" s="371" t="s">
        <v>581</v>
      </c>
      <c r="C9" s="376"/>
      <c r="D9" s="375"/>
      <c r="E9" s="374"/>
      <c r="F9" s="373"/>
      <c r="G9" s="372"/>
      <c r="H9" s="404"/>
      <c r="I9" s="411">
        <f>+D9+E9+F9+G9+H9</f>
        <v>0</v>
      </c>
    </row>
    <row r="10" spans="1:9" ht="12">
      <c r="A10" s="377" t="s">
        <v>6</v>
      </c>
      <c r="B10" s="405" t="s">
        <v>582</v>
      </c>
      <c r="C10" s="376"/>
      <c r="D10" s="375"/>
      <c r="E10" s="406"/>
      <c r="F10" s="408"/>
      <c r="G10" s="409"/>
      <c r="H10" s="410"/>
      <c r="I10" s="411">
        <f aca="true" t="shared" si="1" ref="I10:I20">+D10+E10+F10+G10+H10</f>
        <v>0</v>
      </c>
    </row>
    <row r="11" spans="1:9" ht="12">
      <c r="A11" s="377" t="s">
        <v>3</v>
      </c>
      <c r="B11" s="371" t="s">
        <v>583</v>
      </c>
      <c r="C11" s="376"/>
      <c r="D11" s="375"/>
      <c r="E11" s="406"/>
      <c r="F11" s="408"/>
      <c r="G11" s="409"/>
      <c r="H11" s="410"/>
      <c r="I11" s="411">
        <f t="shared" si="1"/>
        <v>0</v>
      </c>
    </row>
    <row r="12" spans="1:9" ht="12">
      <c r="A12" s="377" t="s">
        <v>16</v>
      </c>
      <c r="B12" s="405" t="s">
        <v>584</v>
      </c>
      <c r="C12" s="376"/>
      <c r="D12" s="375"/>
      <c r="E12" s="406"/>
      <c r="F12" s="408"/>
      <c r="G12" s="409"/>
      <c r="H12" s="410"/>
      <c r="I12" s="411">
        <f t="shared" si="1"/>
        <v>0</v>
      </c>
    </row>
    <row r="13" spans="1:9" ht="12">
      <c r="A13" s="377" t="s">
        <v>15</v>
      </c>
      <c r="B13" s="405" t="s">
        <v>585</v>
      </c>
      <c r="C13" s="376"/>
      <c r="D13" s="375"/>
      <c r="E13" s="406"/>
      <c r="F13" s="408"/>
      <c r="G13" s="409"/>
      <c r="H13" s="410"/>
      <c r="I13" s="411">
        <f t="shared" si="1"/>
        <v>0</v>
      </c>
    </row>
    <row r="14" spans="1:9" ht="12">
      <c r="A14" s="377" t="s">
        <v>14</v>
      </c>
      <c r="B14" s="371" t="s">
        <v>1099</v>
      </c>
      <c r="C14" s="376" t="s">
        <v>1097</v>
      </c>
      <c r="D14" s="375"/>
      <c r="E14" s="406"/>
      <c r="F14" s="408"/>
      <c r="G14" s="409"/>
      <c r="H14" s="410"/>
      <c r="I14" s="411">
        <f t="shared" si="1"/>
        <v>0</v>
      </c>
    </row>
    <row r="15" spans="1:9" ht="12">
      <c r="A15" s="377" t="s">
        <v>13</v>
      </c>
      <c r="B15" s="405" t="s">
        <v>586</v>
      </c>
      <c r="C15" s="376"/>
      <c r="D15" s="375"/>
      <c r="E15" s="406">
        <f>+(8077+677)</f>
        <v>8754</v>
      </c>
      <c r="F15" s="408"/>
      <c r="G15" s="409"/>
      <c r="H15" s="410"/>
      <c r="I15" s="411">
        <f t="shared" si="1"/>
        <v>8754</v>
      </c>
    </row>
    <row r="16" spans="1:9" ht="12">
      <c r="A16" s="377" t="s">
        <v>12</v>
      </c>
      <c r="B16" s="371" t="s">
        <v>1100</v>
      </c>
      <c r="C16" s="376" t="s">
        <v>1097</v>
      </c>
      <c r="D16" s="375"/>
      <c r="E16" s="406"/>
      <c r="F16" s="408"/>
      <c r="G16" s="409"/>
      <c r="H16" s="410"/>
      <c r="I16" s="411">
        <f t="shared" si="1"/>
        <v>0</v>
      </c>
    </row>
    <row r="17" spans="1:9" ht="12">
      <c r="A17" s="377" t="s">
        <v>11</v>
      </c>
      <c r="B17" s="405" t="s">
        <v>587</v>
      </c>
      <c r="C17" s="376"/>
      <c r="D17" s="375"/>
      <c r="E17" s="406"/>
      <c r="F17" s="408"/>
      <c r="G17" s="409"/>
      <c r="H17" s="410"/>
      <c r="I17" s="411">
        <f t="shared" si="1"/>
        <v>0</v>
      </c>
    </row>
    <row r="18" spans="1:9" ht="12">
      <c r="A18" s="377" t="s">
        <v>10</v>
      </c>
      <c r="B18" s="405" t="s">
        <v>588</v>
      </c>
      <c r="C18" s="376"/>
      <c r="D18" s="375">
        <v>2191</v>
      </c>
      <c r="E18" s="406">
        <v>750</v>
      </c>
      <c r="F18" s="408"/>
      <c r="G18" s="409"/>
      <c r="H18" s="410"/>
      <c r="I18" s="411">
        <f t="shared" si="1"/>
        <v>2941</v>
      </c>
    </row>
    <row r="19" spans="1:9" ht="12">
      <c r="A19" s="377" t="s">
        <v>9</v>
      </c>
      <c r="B19" s="371" t="s">
        <v>1101</v>
      </c>
      <c r="C19" s="376" t="s">
        <v>1097</v>
      </c>
      <c r="D19" s="375"/>
      <c r="E19" s="406"/>
      <c r="F19" s="408"/>
      <c r="G19" s="409"/>
      <c r="H19" s="410"/>
      <c r="I19" s="411">
        <f t="shared" si="1"/>
        <v>0</v>
      </c>
    </row>
    <row r="20" spans="1:9" ht="12.75" thickBot="1">
      <c r="A20" s="377" t="s">
        <v>73</v>
      </c>
      <c r="B20" s="405" t="s">
        <v>589</v>
      </c>
      <c r="C20" s="376"/>
      <c r="D20" s="375"/>
      <c r="E20" s="406">
        <v>12516</v>
      </c>
      <c r="F20" s="408"/>
      <c r="G20" s="409"/>
      <c r="H20" s="410"/>
      <c r="I20" s="411">
        <f t="shared" si="1"/>
        <v>12516</v>
      </c>
    </row>
    <row r="21" spans="1:9" ht="12.75" thickBot="1">
      <c r="A21" s="390" t="s">
        <v>72</v>
      </c>
      <c r="B21" s="412" t="s">
        <v>590</v>
      </c>
      <c r="C21" s="381" t="s">
        <v>38</v>
      </c>
      <c r="D21" s="401">
        <f aca="true" t="shared" si="2" ref="D21:I21">SUM(D22:D23)</f>
        <v>0</v>
      </c>
      <c r="E21" s="401">
        <f t="shared" si="2"/>
        <v>0</v>
      </c>
      <c r="F21" s="380">
        <f t="shared" si="2"/>
        <v>0</v>
      </c>
      <c r="G21" s="379">
        <f t="shared" si="2"/>
        <v>0</v>
      </c>
      <c r="H21" s="396">
        <f t="shared" si="2"/>
        <v>0</v>
      </c>
      <c r="I21" s="378">
        <f t="shared" si="2"/>
        <v>0</v>
      </c>
    </row>
    <row r="22" spans="1:9" ht="12">
      <c r="A22" s="377" t="s">
        <v>71</v>
      </c>
      <c r="B22" s="371" t="s">
        <v>591</v>
      </c>
      <c r="C22" s="376"/>
      <c r="D22" s="413"/>
      <c r="E22" s="406"/>
      <c r="F22" s="408"/>
      <c r="G22" s="409"/>
      <c r="H22" s="407"/>
      <c r="I22" s="414">
        <f>+D22+E22+F22+G22+H22</f>
        <v>0</v>
      </c>
    </row>
    <row r="23" spans="1:9" ht="12.75" thickBot="1">
      <c r="A23" s="377" t="s">
        <v>68</v>
      </c>
      <c r="B23" s="405" t="s">
        <v>592</v>
      </c>
      <c r="C23" s="376"/>
      <c r="D23" s="375"/>
      <c r="E23" s="406"/>
      <c r="F23" s="408"/>
      <c r="G23" s="407"/>
      <c r="H23" s="407"/>
      <c r="I23" s="411">
        <f>+D23+E23+F23+G23+H23</f>
        <v>0</v>
      </c>
    </row>
    <row r="24" spans="1:9" ht="12.75" thickBot="1">
      <c r="A24" s="394" t="s">
        <v>67</v>
      </c>
      <c r="B24" s="415" t="s">
        <v>593</v>
      </c>
      <c r="C24" s="416" t="s">
        <v>38</v>
      </c>
      <c r="D24" s="417">
        <f aca="true" t="shared" si="3" ref="D24:I24">SUM(D25:D27)</f>
        <v>0</v>
      </c>
      <c r="E24" s="418">
        <f t="shared" si="3"/>
        <v>0</v>
      </c>
      <c r="F24" s="420">
        <f t="shared" si="3"/>
        <v>0</v>
      </c>
      <c r="G24" s="421">
        <f t="shared" si="3"/>
        <v>0</v>
      </c>
      <c r="H24" s="422">
        <f t="shared" si="3"/>
        <v>0</v>
      </c>
      <c r="I24" s="378">
        <f t="shared" si="3"/>
        <v>0</v>
      </c>
    </row>
    <row r="25" spans="1:9" ht="12">
      <c r="A25" s="423" t="s">
        <v>66</v>
      </c>
      <c r="B25" s="424" t="s">
        <v>594</v>
      </c>
      <c r="C25" s="425"/>
      <c r="D25" s="413"/>
      <c r="E25" s="426"/>
      <c r="F25" s="427"/>
      <c r="G25" s="428"/>
      <c r="H25" s="429"/>
      <c r="I25" s="414">
        <f>+D25+E25+F25+G25+H25</f>
        <v>0</v>
      </c>
    </row>
    <row r="26" spans="1:9" ht="12">
      <c r="A26" s="430" t="s">
        <v>65</v>
      </c>
      <c r="B26" s="405" t="s">
        <v>595</v>
      </c>
      <c r="C26" s="431"/>
      <c r="D26" s="375"/>
      <c r="E26" s="406"/>
      <c r="F26" s="408"/>
      <c r="G26" s="409"/>
      <c r="H26" s="410"/>
      <c r="I26" s="411">
        <f>+D26+E26+F26+G26+H26</f>
        <v>0</v>
      </c>
    </row>
    <row r="27" spans="1:9" ht="12.75" thickBot="1">
      <c r="A27" s="430" t="s">
        <v>64</v>
      </c>
      <c r="B27" s="432" t="s">
        <v>596</v>
      </c>
      <c r="C27" s="433"/>
      <c r="D27" s="434"/>
      <c r="E27" s="435"/>
      <c r="F27" s="436"/>
      <c r="G27" s="437"/>
      <c r="H27" s="438"/>
      <c r="I27" s="439">
        <f>+D27+E27+F27+G27+H27</f>
        <v>0</v>
      </c>
    </row>
    <row r="28" spans="1:9" ht="12.75" thickBot="1">
      <c r="A28" s="394" t="s">
        <v>63</v>
      </c>
      <c r="B28" s="440" t="s">
        <v>597</v>
      </c>
      <c r="C28" s="416" t="s">
        <v>38</v>
      </c>
      <c r="D28" s="417">
        <f aca="true" t="shared" si="4" ref="D28:I28">SUM(D29:D38)</f>
        <v>131666</v>
      </c>
      <c r="E28" s="418">
        <f t="shared" si="4"/>
        <v>64039</v>
      </c>
      <c r="F28" s="420">
        <f t="shared" si="4"/>
        <v>0</v>
      </c>
      <c r="G28" s="421">
        <f t="shared" si="4"/>
        <v>0</v>
      </c>
      <c r="H28" s="422">
        <f t="shared" si="4"/>
        <v>0</v>
      </c>
      <c r="I28" s="378">
        <f t="shared" si="4"/>
        <v>195705</v>
      </c>
    </row>
    <row r="29" spans="1:9" ht="12">
      <c r="A29" s="441" t="s">
        <v>62</v>
      </c>
      <c r="B29" s="442" t="s">
        <v>599</v>
      </c>
      <c r="C29" s="443" t="s">
        <v>1383</v>
      </c>
      <c r="D29" s="444">
        <v>68049</v>
      </c>
      <c r="E29" s="445">
        <v>64039</v>
      </c>
      <c r="F29" s="446"/>
      <c r="G29" s="447"/>
      <c r="H29" s="448"/>
      <c r="I29" s="449">
        <f aca="true" t="shared" si="5" ref="I29:I38">+D29+E29+F29+G29+H29</f>
        <v>132088</v>
      </c>
    </row>
    <row r="30" spans="1:9" ht="12">
      <c r="A30" s="441" t="s">
        <v>61</v>
      </c>
      <c r="B30" s="442" t="s">
        <v>598</v>
      </c>
      <c r="C30" s="443" t="s">
        <v>1384</v>
      </c>
      <c r="D30" s="444">
        <v>40908</v>
      </c>
      <c r="E30" s="445"/>
      <c r="F30" s="446"/>
      <c r="G30" s="447"/>
      <c r="H30" s="448"/>
      <c r="I30" s="449">
        <f t="shared" si="5"/>
        <v>40908</v>
      </c>
    </row>
    <row r="31" spans="1:9" ht="12">
      <c r="A31" s="441" t="s">
        <v>565</v>
      </c>
      <c r="B31" s="442" t="s">
        <v>600</v>
      </c>
      <c r="C31" s="443" t="s">
        <v>1385</v>
      </c>
      <c r="D31" s="444">
        <v>2909</v>
      </c>
      <c r="E31" s="445"/>
      <c r="F31" s="446"/>
      <c r="G31" s="447"/>
      <c r="H31" s="448"/>
      <c r="I31" s="449">
        <f t="shared" si="5"/>
        <v>2909</v>
      </c>
    </row>
    <row r="32" spans="1:9" ht="12">
      <c r="A32" s="441" t="s">
        <v>566</v>
      </c>
      <c r="B32" s="442" t="s">
        <v>602</v>
      </c>
      <c r="C32" s="443" t="s">
        <v>1385</v>
      </c>
      <c r="D32" s="444">
        <v>19800</v>
      </c>
      <c r="E32" s="445"/>
      <c r="F32" s="446"/>
      <c r="G32" s="447"/>
      <c r="H32" s="448"/>
      <c r="I32" s="449">
        <f t="shared" si="5"/>
        <v>19800</v>
      </c>
    </row>
    <row r="33" spans="1:9" ht="24">
      <c r="A33" s="441" t="s">
        <v>567</v>
      </c>
      <c r="B33" s="442" t="s">
        <v>1386</v>
      </c>
      <c r="C33" s="443"/>
      <c r="D33" s="444"/>
      <c r="E33" s="445"/>
      <c r="F33" s="446"/>
      <c r="G33" s="447"/>
      <c r="H33" s="448"/>
      <c r="I33" s="449">
        <f t="shared" si="5"/>
        <v>0</v>
      </c>
    </row>
    <row r="34" spans="1:9" ht="24">
      <c r="A34" s="441" t="s">
        <v>568</v>
      </c>
      <c r="B34" s="442" t="s">
        <v>1387</v>
      </c>
      <c r="C34" s="443"/>
      <c r="D34" s="444"/>
      <c r="E34" s="445"/>
      <c r="F34" s="446"/>
      <c r="G34" s="447"/>
      <c r="H34" s="448"/>
      <c r="I34" s="449">
        <f t="shared" si="5"/>
        <v>0</v>
      </c>
    </row>
    <row r="35" spans="1:9" ht="12">
      <c r="A35" s="441" t="s">
        <v>601</v>
      </c>
      <c r="B35" s="442" t="s">
        <v>1388</v>
      </c>
      <c r="C35" s="443"/>
      <c r="D35" s="444"/>
      <c r="E35" s="445"/>
      <c r="F35" s="446"/>
      <c r="G35" s="447"/>
      <c r="H35" s="448"/>
      <c r="I35" s="449">
        <f t="shared" si="5"/>
        <v>0</v>
      </c>
    </row>
    <row r="36" spans="1:9" ht="24">
      <c r="A36" s="441" t="s">
        <v>603</v>
      </c>
      <c r="B36" s="450" t="s">
        <v>605</v>
      </c>
      <c r="C36" s="451"/>
      <c r="D36" s="452"/>
      <c r="E36" s="453"/>
      <c r="F36" s="454"/>
      <c r="G36" s="455"/>
      <c r="H36" s="456"/>
      <c r="I36" s="457">
        <f t="shared" si="5"/>
        <v>0</v>
      </c>
    </row>
    <row r="37" spans="1:9" ht="24">
      <c r="A37" s="441" t="s">
        <v>604</v>
      </c>
      <c r="B37" s="450" t="s">
        <v>607</v>
      </c>
      <c r="C37" s="451"/>
      <c r="D37" s="452"/>
      <c r="E37" s="453"/>
      <c r="F37" s="454"/>
      <c r="G37" s="455"/>
      <c r="H37" s="456"/>
      <c r="I37" s="457">
        <f t="shared" si="5"/>
        <v>0</v>
      </c>
    </row>
    <row r="38" spans="1:9" ht="24.75" thickBot="1">
      <c r="A38" s="441" t="s">
        <v>606</v>
      </c>
      <c r="B38" s="450" t="s">
        <v>610</v>
      </c>
      <c r="C38" s="451"/>
      <c r="D38" s="452"/>
      <c r="E38" s="453"/>
      <c r="F38" s="454"/>
      <c r="G38" s="455"/>
      <c r="H38" s="456"/>
      <c r="I38" s="457">
        <f t="shared" si="5"/>
        <v>0</v>
      </c>
    </row>
    <row r="39" spans="1:9" ht="12.75" thickBot="1">
      <c r="A39" s="394" t="s">
        <v>608</v>
      </c>
      <c r="B39" s="415" t="s">
        <v>611</v>
      </c>
      <c r="C39" s="416" t="s">
        <v>38</v>
      </c>
      <c r="D39" s="417">
        <f aca="true" t="shared" si="6" ref="D39:I39">SUM(D40:D40)</f>
        <v>6600</v>
      </c>
      <c r="E39" s="418">
        <f t="shared" si="6"/>
        <v>50000</v>
      </c>
      <c r="F39" s="420">
        <f t="shared" si="6"/>
        <v>50000</v>
      </c>
      <c r="G39" s="421">
        <f t="shared" si="6"/>
        <v>50000</v>
      </c>
      <c r="H39" s="419">
        <f t="shared" si="6"/>
        <v>0</v>
      </c>
      <c r="I39" s="466">
        <f t="shared" si="6"/>
        <v>156600</v>
      </c>
    </row>
    <row r="40" spans="1:9" ht="12.75" thickBot="1">
      <c r="A40" s="462" t="s">
        <v>609</v>
      </c>
      <c r="B40" s="1106" t="s">
        <v>1098</v>
      </c>
      <c r="C40" s="463" t="s">
        <v>1097</v>
      </c>
      <c r="D40" s="464">
        <v>6600</v>
      </c>
      <c r="E40" s="458">
        <v>50000</v>
      </c>
      <c r="F40" s="460">
        <v>50000</v>
      </c>
      <c r="G40" s="461">
        <v>50000</v>
      </c>
      <c r="H40" s="459"/>
      <c r="I40" s="467">
        <f>+D40+E40+F40+G40+H40</f>
        <v>156600</v>
      </c>
    </row>
    <row r="41" spans="1:9" ht="12.75" thickBot="1">
      <c r="A41" s="1338" t="s">
        <v>1389</v>
      </c>
      <c r="B41" s="1339"/>
      <c r="C41" s="465" t="s">
        <v>38</v>
      </c>
      <c r="D41" s="401">
        <f aca="true" t="shared" si="7" ref="D41:I41">+D8+D21+D24+D28+D39</f>
        <v>140457</v>
      </c>
      <c r="E41" s="401">
        <f t="shared" si="7"/>
        <v>136059</v>
      </c>
      <c r="F41" s="380">
        <f t="shared" si="7"/>
        <v>50000</v>
      </c>
      <c r="G41" s="379">
        <f t="shared" si="7"/>
        <v>50000</v>
      </c>
      <c r="H41" s="398">
        <f t="shared" si="7"/>
        <v>0</v>
      </c>
      <c r="I41" s="466">
        <f t="shared" si="7"/>
        <v>376516</v>
      </c>
    </row>
    <row r="43" ht="12">
      <c r="A43" s="217" t="s">
        <v>1102</v>
      </c>
    </row>
  </sheetData>
  <sheetProtection/>
  <mergeCells count="9">
    <mergeCell ref="A41:B41"/>
    <mergeCell ref="A2:I2"/>
    <mergeCell ref="A3:I3"/>
    <mergeCell ref="A5:A6"/>
    <mergeCell ref="B5:B6"/>
    <mergeCell ref="C5:C6"/>
    <mergeCell ref="D5:D6"/>
    <mergeCell ref="I5:I6"/>
    <mergeCell ref="E5:H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D25"/>
  <sheetViews>
    <sheetView zoomScalePageLayoutView="0" workbookViewId="0" topLeftCell="A1">
      <selection activeCell="D1" sqref="D1"/>
    </sheetView>
  </sheetViews>
  <sheetFormatPr defaultColWidth="59.00390625" defaultRowHeight="12.75"/>
  <cols>
    <col min="1" max="1" width="5.125" style="217" customWidth="1"/>
    <col min="2" max="2" width="51.25390625" style="217" bestFit="1" customWidth="1"/>
    <col min="3" max="4" width="16.75390625" style="217" customWidth="1"/>
    <col min="5" max="16384" width="59.00390625" style="217" customWidth="1"/>
  </cols>
  <sheetData>
    <row r="1" spans="1:4" s="218" customFormat="1" ht="15.75">
      <c r="A1" s="208"/>
      <c r="B1" s="208"/>
      <c r="C1" s="208"/>
      <c r="D1" s="223" t="s">
        <v>1412</v>
      </c>
    </row>
    <row r="2" spans="1:4" s="218" customFormat="1" ht="15.75">
      <c r="A2" s="208"/>
      <c r="B2" s="208"/>
      <c r="C2" s="208"/>
      <c r="D2" s="223"/>
    </row>
    <row r="3" spans="1:4" s="219" customFormat="1" ht="15.75">
      <c r="A3" s="1250" t="s">
        <v>633</v>
      </c>
      <c r="B3" s="1250"/>
      <c r="C3" s="1250"/>
      <c r="D3" s="1250"/>
    </row>
    <row r="4" spans="1:4" s="219" customFormat="1" ht="15.75">
      <c r="A4" s="1346" t="s">
        <v>615</v>
      </c>
      <c r="B4" s="1346"/>
      <c r="C4" s="1346"/>
      <c r="D4" s="1346"/>
    </row>
    <row r="5" spans="1:4" ht="12.75" thickBot="1">
      <c r="A5" s="483"/>
      <c r="B5" s="482"/>
      <c r="C5" s="482"/>
      <c r="D5" s="481" t="s">
        <v>543</v>
      </c>
    </row>
    <row r="6" spans="1:4" ht="36.75" thickBot="1">
      <c r="A6" s="390" t="s">
        <v>17</v>
      </c>
      <c r="B6" s="485" t="s">
        <v>78</v>
      </c>
      <c r="C6" s="485" t="s">
        <v>634</v>
      </c>
      <c r="D6" s="484" t="s">
        <v>635</v>
      </c>
    </row>
    <row r="7" spans="1:4" ht="12.75" thickBot="1">
      <c r="A7" s="390">
        <v>1</v>
      </c>
      <c r="B7" s="485">
        <v>2</v>
      </c>
      <c r="C7" s="485">
        <v>3</v>
      </c>
      <c r="D7" s="484">
        <v>4</v>
      </c>
    </row>
    <row r="8" spans="1:4" ht="12">
      <c r="A8" s="480" t="s">
        <v>4</v>
      </c>
      <c r="B8" s="479" t="s">
        <v>616</v>
      </c>
      <c r="C8" s="471"/>
      <c r="D8" s="429"/>
    </row>
    <row r="9" spans="1:4" ht="12">
      <c r="A9" s="478" t="s">
        <v>5</v>
      </c>
      <c r="B9" s="477" t="s">
        <v>617</v>
      </c>
      <c r="C9" s="470"/>
      <c r="D9" s="410"/>
    </row>
    <row r="10" spans="1:4" ht="12">
      <c r="A10" s="478" t="s">
        <v>6</v>
      </c>
      <c r="B10" s="477" t="s">
        <v>618</v>
      </c>
      <c r="C10" s="470"/>
      <c r="D10" s="410"/>
    </row>
    <row r="11" spans="1:4" ht="12">
      <c r="A11" s="478" t="s">
        <v>3</v>
      </c>
      <c r="B11" s="477" t="s">
        <v>619</v>
      </c>
      <c r="C11" s="470"/>
      <c r="D11" s="410"/>
    </row>
    <row r="12" spans="1:4" ht="12">
      <c r="A12" s="478" t="s">
        <v>16</v>
      </c>
      <c r="B12" s="477" t="s">
        <v>620</v>
      </c>
      <c r="C12" s="470">
        <f>+C13+C14+C15+C16+C17+C18+C19</f>
        <v>260000</v>
      </c>
      <c r="D12" s="470">
        <f>+D13+D14+D15+D16+D17+D18+D19</f>
        <v>3750</v>
      </c>
    </row>
    <row r="13" spans="1:4" ht="12">
      <c r="A13" s="478" t="s">
        <v>265</v>
      </c>
      <c r="B13" s="476" t="s">
        <v>621</v>
      </c>
      <c r="C13" s="469">
        <v>28000</v>
      </c>
      <c r="D13" s="468"/>
    </row>
    <row r="14" spans="1:4" ht="12">
      <c r="A14" s="478" t="s">
        <v>266</v>
      </c>
      <c r="B14" s="476" t="s">
        <v>622</v>
      </c>
      <c r="C14" s="469"/>
      <c r="D14" s="468"/>
    </row>
    <row r="15" spans="1:4" ht="12">
      <c r="A15" s="478" t="s">
        <v>267</v>
      </c>
      <c r="B15" s="476" t="s">
        <v>623</v>
      </c>
      <c r="C15" s="469"/>
      <c r="D15" s="468"/>
    </row>
    <row r="16" spans="1:4" ht="12">
      <c r="A16" s="478" t="s">
        <v>295</v>
      </c>
      <c r="B16" s="476" t="s">
        <v>624</v>
      </c>
      <c r="C16" s="469">
        <f>14600+2050</f>
        <v>16650</v>
      </c>
      <c r="D16" s="468">
        <v>2050</v>
      </c>
    </row>
    <row r="17" spans="1:4" ht="12">
      <c r="A17" s="478" t="s">
        <v>296</v>
      </c>
      <c r="B17" s="476" t="s">
        <v>625</v>
      </c>
      <c r="C17" s="469">
        <v>50</v>
      </c>
      <c r="D17" s="468"/>
    </row>
    <row r="18" spans="1:4" ht="12">
      <c r="A18" s="478" t="s">
        <v>297</v>
      </c>
      <c r="B18" s="476" t="s">
        <v>626</v>
      </c>
      <c r="C18" s="469"/>
      <c r="D18" s="468"/>
    </row>
    <row r="19" spans="1:4" ht="12">
      <c r="A19" s="478" t="s">
        <v>298</v>
      </c>
      <c r="B19" s="476" t="s">
        <v>627</v>
      </c>
      <c r="C19" s="469">
        <f>213600+D19</f>
        <v>215300</v>
      </c>
      <c r="D19" s="468">
        <v>1700</v>
      </c>
    </row>
    <row r="20" spans="1:4" ht="12">
      <c r="A20" s="478" t="s">
        <v>15</v>
      </c>
      <c r="B20" s="477" t="s">
        <v>628</v>
      </c>
      <c r="C20" s="470">
        <f>25000+D20</f>
        <v>25860</v>
      </c>
      <c r="D20" s="410">
        <v>860</v>
      </c>
    </row>
    <row r="21" spans="1:4" ht="12">
      <c r="A21" s="478" t="s">
        <v>14</v>
      </c>
      <c r="B21" s="477" t="s">
        <v>629</v>
      </c>
      <c r="C21" s="470"/>
      <c r="D21" s="410"/>
    </row>
    <row r="22" spans="1:4" ht="12">
      <c r="A22" s="478" t="s">
        <v>13</v>
      </c>
      <c r="B22" s="477" t="s">
        <v>630</v>
      </c>
      <c r="C22" s="470"/>
      <c r="D22" s="410"/>
    </row>
    <row r="23" spans="1:4" ht="12">
      <c r="A23" s="478" t="s">
        <v>12</v>
      </c>
      <c r="B23" s="477" t="s">
        <v>631</v>
      </c>
      <c r="C23" s="470"/>
      <c r="D23" s="410"/>
    </row>
    <row r="24" spans="1:4" ht="12.75" thickBot="1">
      <c r="A24" s="475" t="s">
        <v>11</v>
      </c>
      <c r="B24" s="474" t="s">
        <v>632</v>
      </c>
      <c r="C24" s="487"/>
      <c r="D24" s="448"/>
    </row>
    <row r="25" spans="1:4" ht="12.75" thickBot="1">
      <c r="A25" s="473" t="s">
        <v>10</v>
      </c>
      <c r="B25" s="486" t="s">
        <v>519</v>
      </c>
      <c r="C25" s="486">
        <f>+C8+C9+C10+C11+C12+C20+C21+C22+C23+C24</f>
        <v>285860</v>
      </c>
      <c r="D25" s="472">
        <f>+D8+D9+D10+D11+D12+D20+D21+D22+D23+D24</f>
        <v>4610</v>
      </c>
    </row>
  </sheetData>
  <sheetProtection/>
  <mergeCells count="2">
    <mergeCell ref="A3:D3"/>
    <mergeCell ref="A4:D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Q41"/>
  <sheetViews>
    <sheetView zoomScale="90" zoomScaleNormal="90" zoomScalePageLayoutView="0" workbookViewId="0" topLeftCell="A1">
      <selection activeCell="P1" sqref="P1"/>
    </sheetView>
  </sheetViews>
  <sheetFormatPr defaultColWidth="9.00390625" defaultRowHeight="12.75"/>
  <cols>
    <col min="1" max="1" width="4.875" style="217" customWidth="1"/>
    <col min="2" max="2" width="44.00390625" style="217" bestFit="1" customWidth="1"/>
    <col min="3" max="16" width="10.25390625" style="217" customWidth="1"/>
    <col min="17" max="43" width="9.125" style="217" hidden="1" customWidth="1"/>
    <col min="44" max="16384" width="9.125" style="217" customWidth="1"/>
  </cols>
  <sheetData>
    <row r="1" spans="1:43" s="218" customFormat="1" ht="15.75">
      <c r="A1" s="208"/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23" t="s">
        <v>1413</v>
      </c>
      <c r="T1" s="1152"/>
      <c r="U1" s="1152"/>
      <c r="V1" s="1152">
        <v>1</v>
      </c>
      <c r="W1" s="1152">
        <v>2</v>
      </c>
      <c r="X1" s="1152">
        <v>3</v>
      </c>
      <c r="Y1" s="1152">
        <v>4</v>
      </c>
      <c r="Z1" s="1152">
        <v>5</v>
      </c>
      <c r="AA1" s="1152">
        <v>6</v>
      </c>
      <c r="AB1" s="1152">
        <v>7</v>
      </c>
      <c r="AC1" s="1152">
        <v>8</v>
      </c>
      <c r="AD1" s="1152">
        <v>9</v>
      </c>
      <c r="AE1" s="1152">
        <v>10</v>
      </c>
      <c r="AF1" s="1152">
        <v>11</v>
      </c>
      <c r="AG1" s="1152">
        <v>12</v>
      </c>
      <c r="AH1" s="1153"/>
      <c r="AI1" s="1152"/>
      <c r="AJ1" s="1152"/>
      <c r="AK1" s="1152"/>
      <c r="AL1" s="1152"/>
      <c r="AM1" s="1152"/>
      <c r="AN1" s="1152"/>
      <c r="AO1" s="1152"/>
      <c r="AP1" s="1152"/>
      <c r="AQ1" s="1152"/>
    </row>
    <row r="2" spans="1:43" s="218" customFormat="1" ht="16.5" thickBot="1">
      <c r="A2" s="208"/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23"/>
      <c r="T2" s="1152"/>
      <c r="U2" s="1152"/>
      <c r="V2" s="1154">
        <v>5</v>
      </c>
      <c r="W2" s="1154">
        <v>14</v>
      </c>
      <c r="X2" s="1154">
        <v>7</v>
      </c>
      <c r="Y2" s="1154">
        <v>8</v>
      </c>
      <c r="Z2" s="1154">
        <v>8</v>
      </c>
      <c r="AA2" s="1154">
        <v>8</v>
      </c>
      <c r="AB2" s="1154">
        <v>8</v>
      </c>
      <c r="AC2" s="1154">
        <v>8</v>
      </c>
      <c r="AD2" s="1154">
        <v>8</v>
      </c>
      <c r="AE2" s="1154">
        <v>8</v>
      </c>
      <c r="AF2" s="1154">
        <v>8</v>
      </c>
      <c r="AG2" s="1154">
        <v>10</v>
      </c>
      <c r="AH2" s="1155">
        <f>SUM(V2:AG2)</f>
        <v>100</v>
      </c>
      <c r="AI2" s="1152"/>
      <c r="AJ2" s="1152"/>
      <c r="AK2" s="1152">
        <v>3</v>
      </c>
      <c r="AL2" s="1152">
        <v>5</v>
      </c>
      <c r="AM2" s="1152">
        <v>7</v>
      </c>
      <c r="AN2" s="1152">
        <v>9</v>
      </c>
      <c r="AO2" s="1152">
        <v>12</v>
      </c>
      <c r="AP2" s="1152"/>
      <c r="AQ2" s="1152"/>
    </row>
    <row r="3" spans="1:43" s="219" customFormat="1" ht="16.5" thickBot="1">
      <c r="A3" s="1347" t="s">
        <v>654</v>
      </c>
      <c r="B3" s="1347"/>
      <c r="C3" s="1347"/>
      <c r="D3" s="1347"/>
      <c r="E3" s="1347"/>
      <c r="F3" s="1347"/>
      <c r="G3" s="1347"/>
      <c r="H3" s="1347"/>
      <c r="I3" s="1347"/>
      <c r="J3" s="1347"/>
      <c r="K3" s="1347"/>
      <c r="L3" s="1347"/>
      <c r="M3" s="1347"/>
      <c r="N3" s="1347"/>
      <c r="O3" s="1347"/>
      <c r="P3" s="1347"/>
      <c r="U3" s="1152" t="s">
        <v>1311</v>
      </c>
      <c r="V3" s="1152"/>
      <c r="W3" s="1152"/>
      <c r="X3" s="1152"/>
      <c r="Y3" s="1152"/>
      <c r="Z3" s="1152"/>
      <c r="AA3" s="1152"/>
      <c r="AB3" s="1152"/>
      <c r="AC3" s="1152"/>
      <c r="AD3" s="1152"/>
      <c r="AE3" s="1152"/>
      <c r="AF3" s="1152"/>
      <c r="AG3" s="1152"/>
      <c r="AH3" s="1153">
        <f>SUM(V3:AG3)</f>
        <v>0</v>
      </c>
      <c r="AI3" s="1152" t="e">
        <f>+AH3-#REF!</f>
        <v>#REF!</v>
      </c>
      <c r="AJ3" s="1156" t="s">
        <v>1312</v>
      </c>
      <c r="AK3" s="1157" t="s">
        <v>639</v>
      </c>
      <c r="AL3" s="1158" t="s">
        <v>641</v>
      </c>
      <c r="AM3" s="1158" t="s">
        <v>643</v>
      </c>
      <c r="AN3" s="1158" t="s">
        <v>645</v>
      </c>
      <c r="AO3" s="1159" t="s">
        <v>1313</v>
      </c>
      <c r="AP3" s="1160" t="s">
        <v>18</v>
      </c>
      <c r="AQ3" s="1152"/>
    </row>
    <row r="4" spans="1:43" ht="12.75" thickBot="1">
      <c r="A4" s="209"/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521" t="s">
        <v>77</v>
      </c>
      <c r="U4" s="1161" t="s">
        <v>1314</v>
      </c>
      <c r="V4" s="1162"/>
      <c r="W4" s="1162"/>
      <c r="X4" s="1162"/>
      <c r="Y4" s="1162"/>
      <c r="Z4" s="1162"/>
      <c r="AA4" s="1162"/>
      <c r="AB4" s="1162"/>
      <c r="AC4" s="1162"/>
      <c r="AD4" s="1162"/>
      <c r="AE4" s="1162"/>
      <c r="AF4" s="1162"/>
      <c r="AG4" s="1162"/>
      <c r="AH4" s="1153">
        <f>SUM(V4:AG4)</f>
        <v>0</v>
      </c>
      <c r="AI4" s="1152" t="e">
        <f>+AH4-#REF!</f>
        <v>#REF!</v>
      </c>
      <c r="AJ4" s="1163" t="s">
        <v>1315</v>
      </c>
      <c r="AK4" s="1164">
        <v>95000</v>
      </c>
      <c r="AL4" s="1165">
        <v>15000</v>
      </c>
      <c r="AM4" s="1165">
        <v>0</v>
      </c>
      <c r="AN4" s="1165">
        <v>90000</v>
      </c>
      <c r="AO4" s="1166">
        <v>13600</v>
      </c>
      <c r="AP4" s="1167">
        <f aca="true" t="shared" si="0" ref="AP4:AP10">SUM(AK4:AO4)</f>
        <v>213600</v>
      </c>
      <c r="AQ4" s="1152">
        <v>213600</v>
      </c>
    </row>
    <row r="5" spans="1:43" ht="24.75" thickBot="1">
      <c r="A5" s="498" t="s">
        <v>17</v>
      </c>
      <c r="B5" s="499" t="s">
        <v>7</v>
      </c>
      <c r="C5" s="195" t="s">
        <v>419</v>
      </c>
      <c r="D5" s="505" t="s">
        <v>637</v>
      </c>
      <c r="E5" s="497" t="s">
        <v>638</v>
      </c>
      <c r="F5" s="497" t="s">
        <v>639</v>
      </c>
      <c r="G5" s="497" t="s">
        <v>640</v>
      </c>
      <c r="H5" s="497" t="s">
        <v>641</v>
      </c>
      <c r="I5" s="497" t="s">
        <v>642</v>
      </c>
      <c r="J5" s="497" t="s">
        <v>643</v>
      </c>
      <c r="K5" s="497" t="s">
        <v>644</v>
      </c>
      <c r="L5" s="497" t="s">
        <v>645</v>
      </c>
      <c r="M5" s="497" t="s">
        <v>646</v>
      </c>
      <c r="N5" s="497" t="s">
        <v>647</v>
      </c>
      <c r="O5" s="497" t="s">
        <v>648</v>
      </c>
      <c r="P5" s="500" t="s">
        <v>519</v>
      </c>
      <c r="U5" s="1168" t="s">
        <v>1316</v>
      </c>
      <c r="V5" s="1168"/>
      <c r="W5" s="1161"/>
      <c r="X5" s="1161"/>
      <c r="Y5" s="1161"/>
      <c r="Z5" s="1161"/>
      <c r="AA5" s="1161"/>
      <c r="AB5" s="1161"/>
      <c r="AC5" s="1161"/>
      <c r="AD5" s="1161"/>
      <c r="AE5" s="1168"/>
      <c r="AF5" s="1168"/>
      <c r="AG5" s="1168"/>
      <c r="AH5" s="1153">
        <f>SUM(V5:AG5)</f>
        <v>0</v>
      </c>
      <c r="AI5" s="1152" t="e">
        <f>+AH5-#REF!</f>
        <v>#REF!</v>
      </c>
      <c r="AJ5" s="1169" t="s">
        <v>1317</v>
      </c>
      <c r="AK5" s="1170">
        <v>8000</v>
      </c>
      <c r="AL5" s="1171">
        <v>2200</v>
      </c>
      <c r="AM5" s="1171">
        <v>0</v>
      </c>
      <c r="AN5" s="1171">
        <v>2200</v>
      </c>
      <c r="AO5" s="1172">
        <v>2200</v>
      </c>
      <c r="AP5" s="1173">
        <f t="shared" si="0"/>
        <v>14600</v>
      </c>
      <c r="AQ5" s="1161">
        <v>14600</v>
      </c>
    </row>
    <row r="6" spans="1:43" ht="12.75" thickBot="1">
      <c r="A6" s="496"/>
      <c r="B6" s="1348" t="s">
        <v>649</v>
      </c>
      <c r="C6" s="1349"/>
      <c r="D6" s="1350"/>
      <c r="E6" s="1350"/>
      <c r="F6" s="1350"/>
      <c r="G6" s="1350"/>
      <c r="H6" s="1350"/>
      <c r="I6" s="1350"/>
      <c r="J6" s="1350"/>
      <c r="K6" s="1350"/>
      <c r="L6" s="1350"/>
      <c r="M6" s="1350"/>
      <c r="N6" s="1350"/>
      <c r="O6" s="1350"/>
      <c r="P6" s="1351"/>
      <c r="U6" s="1174" t="s">
        <v>1318</v>
      </c>
      <c r="V6" s="1162"/>
      <c r="W6" s="1161"/>
      <c r="X6" s="1161"/>
      <c r="Y6" s="1161"/>
      <c r="Z6" s="1161"/>
      <c r="AA6" s="1161"/>
      <c r="AB6" s="1161"/>
      <c r="AC6" s="1161"/>
      <c r="AD6" s="1161"/>
      <c r="AE6" s="1175"/>
      <c r="AF6" s="1175"/>
      <c r="AG6" s="1175"/>
      <c r="AH6" s="1153">
        <f>SUM(V6:AG6)</f>
        <v>0</v>
      </c>
      <c r="AI6" s="1152" t="e">
        <f>+AH6-#REF!</f>
        <v>#REF!</v>
      </c>
      <c r="AJ6" s="1169" t="s">
        <v>1319</v>
      </c>
      <c r="AK6" s="1170">
        <v>11000</v>
      </c>
      <c r="AL6" s="1171">
        <v>4000</v>
      </c>
      <c r="AM6" s="1171">
        <v>0</v>
      </c>
      <c r="AN6" s="1171">
        <v>9000</v>
      </c>
      <c r="AO6" s="1172">
        <v>4000</v>
      </c>
      <c r="AP6" s="1173">
        <f t="shared" si="0"/>
        <v>28000</v>
      </c>
      <c r="AQ6" s="1168">
        <v>28000</v>
      </c>
    </row>
    <row r="7" spans="1:43" ht="12">
      <c r="A7" s="495" t="s">
        <v>4</v>
      </c>
      <c r="B7" s="494" t="s">
        <v>655</v>
      </c>
      <c r="C7" s="1142">
        <f>+'1.mell._Össz_Mérleg2014'!C11</f>
        <v>1126437</v>
      </c>
      <c r="D7" s="493">
        <f>96200+55662</f>
        <v>151862</v>
      </c>
      <c r="E7" s="492">
        <f>61366+55662</f>
        <v>117028</v>
      </c>
      <c r="F7" s="492">
        <f>61366+55662+450+1500</f>
        <v>118978</v>
      </c>
      <c r="G7" s="492">
        <f>61620+55662-1</f>
        <v>117281</v>
      </c>
      <c r="H7" s="492">
        <v>61366</v>
      </c>
      <c r="I7" s="492">
        <f>61366+450+225+8139+64039</f>
        <v>134219</v>
      </c>
      <c r="J7" s="492">
        <v>61620</v>
      </c>
      <c r="K7" s="492">
        <f>61366+50000</f>
        <v>111366</v>
      </c>
      <c r="L7" s="492">
        <f>62283+450+1500+3039+250</f>
        <v>67522</v>
      </c>
      <c r="M7" s="492">
        <v>63263</v>
      </c>
      <c r="N7" s="492">
        <v>62641</v>
      </c>
      <c r="O7" s="1240">
        <f>50700+450+8140+1</f>
        <v>59291</v>
      </c>
      <c r="P7" s="1243">
        <f>SUM(D7:O7)</f>
        <v>1126437</v>
      </c>
      <c r="Q7" s="217">
        <f>+C7/12</f>
        <v>93869.75</v>
      </c>
      <c r="R7" s="936">
        <f>+C7-P7</f>
        <v>0</v>
      </c>
      <c r="S7" s="936"/>
      <c r="T7" s="1174"/>
      <c r="U7" s="1162"/>
      <c r="V7" s="1162">
        <f>SUM(V3:V6)</f>
        <v>0</v>
      </c>
      <c r="W7" s="1162">
        <f aca="true" t="shared" si="1" ref="W7:AH7">SUM(W3:W6)</f>
        <v>0</v>
      </c>
      <c r="X7" s="1162">
        <f t="shared" si="1"/>
        <v>0</v>
      </c>
      <c r="Y7" s="1162">
        <f t="shared" si="1"/>
        <v>0</v>
      </c>
      <c r="Z7" s="1162">
        <f t="shared" si="1"/>
        <v>0</v>
      </c>
      <c r="AA7" s="1162">
        <f t="shared" si="1"/>
        <v>0</v>
      </c>
      <c r="AB7" s="1162">
        <f t="shared" si="1"/>
        <v>0</v>
      </c>
      <c r="AC7" s="1162">
        <f t="shared" si="1"/>
        <v>0</v>
      </c>
      <c r="AD7" s="1162">
        <f t="shared" si="1"/>
        <v>0</v>
      </c>
      <c r="AE7" s="1162">
        <f t="shared" si="1"/>
        <v>0</v>
      </c>
      <c r="AF7" s="1162">
        <f t="shared" si="1"/>
        <v>0</v>
      </c>
      <c r="AG7" s="1162">
        <f t="shared" si="1"/>
        <v>0</v>
      </c>
      <c r="AH7" s="1176">
        <f t="shared" si="1"/>
        <v>0</v>
      </c>
      <c r="AI7" s="1152"/>
      <c r="AJ7" s="1169" t="s">
        <v>1320</v>
      </c>
      <c r="AK7" s="1177">
        <v>9500</v>
      </c>
      <c r="AL7" s="1178">
        <v>3000</v>
      </c>
      <c r="AM7" s="1178">
        <v>0</v>
      </c>
      <c r="AN7" s="1178">
        <v>9500</v>
      </c>
      <c r="AO7" s="1179">
        <v>3000</v>
      </c>
      <c r="AP7" s="1180">
        <f t="shared" si="0"/>
        <v>25000</v>
      </c>
      <c r="AQ7" s="1175">
        <v>25000</v>
      </c>
    </row>
    <row r="8" spans="1:43" ht="12">
      <c r="A8" s="491" t="s">
        <v>5</v>
      </c>
      <c r="B8" s="490" t="s">
        <v>650</v>
      </c>
      <c r="C8" s="1143">
        <f>+'1.mell._Össz_Mérleg2014'!C25</f>
        <v>295460</v>
      </c>
      <c r="D8" s="489">
        <f>878+15</f>
        <v>893</v>
      </c>
      <c r="E8" s="488">
        <f>877+15</f>
        <v>892</v>
      </c>
      <c r="F8" s="488">
        <f>124250+878+15</f>
        <v>125143</v>
      </c>
      <c r="G8" s="488">
        <f>877+15</f>
        <v>892</v>
      </c>
      <c r="H8" s="488">
        <f>24950+878+15</f>
        <v>25843</v>
      </c>
      <c r="I8" s="488">
        <f>877+15</f>
        <v>892</v>
      </c>
      <c r="J8" s="488">
        <f>25+878+15</f>
        <v>918</v>
      </c>
      <c r="K8" s="488">
        <f>877+15</f>
        <v>892</v>
      </c>
      <c r="L8" s="488">
        <f>111725+878+15</f>
        <v>112618</v>
      </c>
      <c r="M8" s="488">
        <f>877+15</f>
        <v>892</v>
      </c>
      <c r="N8" s="488">
        <f>878+15</f>
        <v>893</v>
      </c>
      <c r="O8" s="1241">
        <f>23800+877+15</f>
        <v>24692</v>
      </c>
      <c r="P8" s="1244">
        <f aca="true" t="shared" si="2" ref="P8:P15">SUM(D8:O8)</f>
        <v>295460</v>
      </c>
      <c r="Q8" s="217">
        <f aca="true" t="shared" si="3" ref="Q8:Q27">+C8/12</f>
        <v>24621.666666666668</v>
      </c>
      <c r="R8" s="936">
        <f aca="true" t="shared" si="4" ref="R8:R31">+C8-P8</f>
        <v>0</v>
      </c>
      <c r="T8" s="1175"/>
      <c r="U8" s="1175"/>
      <c r="V8" s="1175"/>
      <c r="W8" s="1161"/>
      <c r="X8" s="1161"/>
      <c r="Y8" s="1161"/>
      <c r="Z8" s="1161"/>
      <c r="AA8" s="1161"/>
      <c r="AB8" s="1161"/>
      <c r="AC8" s="1161"/>
      <c r="AD8" s="1161"/>
      <c r="AE8" s="1175"/>
      <c r="AF8" s="1175"/>
      <c r="AG8" s="1175"/>
      <c r="AH8" s="1181"/>
      <c r="AI8" s="1175"/>
      <c r="AJ8" s="1169" t="s">
        <v>1321</v>
      </c>
      <c r="AK8" s="1170">
        <v>0</v>
      </c>
      <c r="AL8" s="1171">
        <v>0</v>
      </c>
      <c r="AM8" s="1171">
        <v>25</v>
      </c>
      <c r="AN8" s="1171">
        <v>25</v>
      </c>
      <c r="AO8" s="1172">
        <v>0</v>
      </c>
      <c r="AP8" s="1173">
        <f t="shared" si="0"/>
        <v>50</v>
      </c>
      <c r="AQ8" s="1175">
        <v>50</v>
      </c>
    </row>
    <row r="9" spans="1:43" ht="12.75">
      <c r="A9" s="491" t="s">
        <v>6</v>
      </c>
      <c r="B9" s="490" t="s">
        <v>656</v>
      </c>
      <c r="C9" s="1143">
        <f>+'1.mell._Össz_Mérleg2014'!C32</f>
        <v>94452</v>
      </c>
      <c r="D9" s="489">
        <v>7871</v>
      </c>
      <c r="E9" s="488">
        <v>7871</v>
      </c>
      <c r="F9" s="488">
        <v>7871</v>
      </c>
      <c r="G9" s="488">
        <v>7871</v>
      </c>
      <c r="H9" s="488">
        <v>7871</v>
      </c>
      <c r="I9" s="488">
        <v>7871</v>
      </c>
      <c r="J9" s="488">
        <v>7871</v>
      </c>
      <c r="K9" s="488">
        <v>7871</v>
      </c>
      <c r="L9" s="488">
        <v>7871</v>
      </c>
      <c r="M9" s="488">
        <v>7871</v>
      </c>
      <c r="N9" s="488">
        <v>7871</v>
      </c>
      <c r="O9" s="1241">
        <v>7871</v>
      </c>
      <c r="P9" s="1244">
        <f t="shared" si="2"/>
        <v>94452</v>
      </c>
      <c r="Q9" s="217">
        <f t="shared" si="3"/>
        <v>7871</v>
      </c>
      <c r="R9" s="936">
        <f t="shared" si="4"/>
        <v>0</v>
      </c>
      <c r="T9" s="1175"/>
      <c r="U9" s="1175"/>
      <c r="V9" s="1182"/>
      <c r="W9" s="1182"/>
      <c r="X9" s="1182"/>
      <c r="Y9" s="1182"/>
      <c r="Z9" s="1182"/>
      <c r="AA9" s="1182"/>
      <c r="AB9" s="1182"/>
      <c r="AC9" s="1182"/>
      <c r="AD9" s="1182"/>
      <c r="AE9" s="1182"/>
      <c r="AF9" s="1182"/>
      <c r="AG9" s="1182"/>
      <c r="AH9" s="1181"/>
      <c r="AI9" s="1175"/>
      <c r="AJ9" s="1169" t="s">
        <v>1322</v>
      </c>
      <c r="AK9" s="1177">
        <v>750</v>
      </c>
      <c r="AL9" s="1178">
        <v>750</v>
      </c>
      <c r="AM9" s="1178">
        <v>0</v>
      </c>
      <c r="AN9" s="1178">
        <v>1000</v>
      </c>
      <c r="AO9" s="1179">
        <v>1000</v>
      </c>
      <c r="AP9" s="1180">
        <f t="shared" si="0"/>
        <v>3500</v>
      </c>
      <c r="AQ9" s="1175">
        <v>3500</v>
      </c>
    </row>
    <row r="10" spans="1:43" ht="12.75" thickBot="1">
      <c r="A10" s="491" t="s">
        <v>3</v>
      </c>
      <c r="B10" s="490" t="s">
        <v>657</v>
      </c>
      <c r="C10" s="1144">
        <f>+'1.mell._Össz_Mérleg2014'!C43</f>
        <v>54162</v>
      </c>
      <c r="D10" s="489"/>
      <c r="E10" s="488"/>
      <c r="F10" s="488">
        <f>12500+5523</f>
        <v>18023</v>
      </c>
      <c r="G10" s="488"/>
      <c r="H10" s="488">
        <v>18498</v>
      </c>
      <c r="I10" s="488"/>
      <c r="J10" s="488"/>
      <c r="K10" s="488"/>
      <c r="L10" s="488"/>
      <c r="M10" s="488">
        <v>2800</v>
      </c>
      <c r="N10" s="488">
        <v>9317</v>
      </c>
      <c r="O10" s="1241">
        <v>5524</v>
      </c>
      <c r="P10" s="1244">
        <f t="shared" si="2"/>
        <v>54162</v>
      </c>
      <c r="Q10" s="217">
        <f t="shared" si="3"/>
        <v>4513.5</v>
      </c>
      <c r="R10" s="936">
        <f t="shared" si="4"/>
        <v>0</v>
      </c>
      <c r="T10" s="1175"/>
      <c r="U10" s="1175"/>
      <c r="V10" s="1175"/>
      <c r="W10" s="1161"/>
      <c r="X10" s="1161"/>
      <c r="Y10" s="1161"/>
      <c r="Z10" s="1161"/>
      <c r="AA10" s="1161"/>
      <c r="AB10" s="1161"/>
      <c r="AC10" s="1161"/>
      <c r="AD10" s="1161"/>
      <c r="AE10" s="1175"/>
      <c r="AF10" s="1175"/>
      <c r="AG10" s="1175"/>
      <c r="AH10" s="1181"/>
      <c r="AI10" s="1175"/>
      <c r="AJ10" s="1183" t="s">
        <v>18</v>
      </c>
      <c r="AK10" s="1184">
        <f>SUM(AK4:AK9)</f>
        <v>124250</v>
      </c>
      <c r="AL10" s="1185">
        <f>SUM(AL4:AL9)</f>
        <v>24950</v>
      </c>
      <c r="AM10" s="1185">
        <f>SUM(AM4:AM9)</f>
        <v>25</v>
      </c>
      <c r="AN10" s="1185">
        <f>SUM(AN4:AN9)</f>
        <v>111725</v>
      </c>
      <c r="AO10" s="1186">
        <f>SUM(AO4:AO9)</f>
        <v>23800</v>
      </c>
      <c r="AP10" s="1187">
        <f t="shared" si="0"/>
        <v>284750</v>
      </c>
      <c r="AQ10" s="1175"/>
    </row>
    <row r="11" spans="1:43" ht="12">
      <c r="A11" s="491" t="s">
        <v>16</v>
      </c>
      <c r="B11" s="490" t="s">
        <v>658</v>
      </c>
      <c r="C11" s="1144">
        <f>+'1.mell._Össz_Mérleg2014'!C48</f>
        <v>23356</v>
      </c>
      <c r="D11" s="489"/>
      <c r="E11" s="488"/>
      <c r="F11" s="488"/>
      <c r="G11" s="488"/>
      <c r="H11" s="488"/>
      <c r="I11" s="488">
        <v>12356</v>
      </c>
      <c r="J11" s="488"/>
      <c r="K11" s="488"/>
      <c r="L11" s="488"/>
      <c r="M11" s="488"/>
      <c r="N11" s="488"/>
      <c r="O11" s="1241">
        <v>11000</v>
      </c>
      <c r="P11" s="1244">
        <f t="shared" si="2"/>
        <v>23356</v>
      </c>
      <c r="Q11" s="217">
        <f t="shared" si="3"/>
        <v>1946.3333333333333</v>
      </c>
      <c r="R11" s="936">
        <f t="shared" si="4"/>
        <v>0</v>
      </c>
      <c r="T11" s="1175"/>
      <c r="U11" s="1175"/>
      <c r="V11" s="1161"/>
      <c r="W11" s="1161"/>
      <c r="X11" s="1161"/>
      <c r="Y11" s="1161"/>
      <c r="Z11" s="1161"/>
      <c r="AA11" s="1161"/>
      <c r="AB11" s="1161"/>
      <c r="AC11" s="1161"/>
      <c r="AD11" s="1161"/>
      <c r="AE11" s="1161"/>
      <c r="AF11" s="1161"/>
      <c r="AG11" s="1161"/>
      <c r="AH11" s="1181"/>
      <c r="AI11" s="1175"/>
      <c r="AJ11" s="1168"/>
      <c r="AK11" s="1168"/>
      <c r="AL11" s="1168"/>
      <c r="AM11" s="1168"/>
      <c r="AN11" s="1168"/>
      <c r="AO11" s="1168"/>
      <c r="AP11" s="1168"/>
      <c r="AQ11" s="1175"/>
    </row>
    <row r="12" spans="1:43" ht="12">
      <c r="A12" s="491" t="s">
        <v>15</v>
      </c>
      <c r="B12" s="490" t="s">
        <v>659</v>
      </c>
      <c r="C12" s="1144">
        <f>+'1.mell._Össz_Mérleg2014'!C55</f>
        <v>300</v>
      </c>
      <c r="D12" s="489">
        <v>25</v>
      </c>
      <c r="E12" s="488">
        <v>25</v>
      </c>
      <c r="F12" s="488">
        <v>25</v>
      </c>
      <c r="G12" s="488">
        <v>25</v>
      </c>
      <c r="H12" s="488">
        <v>25</v>
      </c>
      <c r="I12" s="488">
        <v>25</v>
      </c>
      <c r="J12" s="488">
        <v>25</v>
      </c>
      <c r="K12" s="488">
        <v>25</v>
      </c>
      <c r="L12" s="488">
        <v>25</v>
      </c>
      <c r="M12" s="488">
        <v>25</v>
      </c>
      <c r="N12" s="488">
        <v>25</v>
      </c>
      <c r="O12" s="1241">
        <v>25</v>
      </c>
      <c r="P12" s="1244">
        <f t="shared" si="2"/>
        <v>300</v>
      </c>
      <c r="Q12" s="217">
        <f t="shared" si="3"/>
        <v>25</v>
      </c>
      <c r="R12" s="936">
        <f t="shared" si="4"/>
        <v>0</v>
      </c>
      <c r="T12" s="1175"/>
      <c r="U12" s="1175"/>
      <c r="V12" s="1175"/>
      <c r="W12" s="1161"/>
      <c r="X12" s="1161"/>
      <c r="Y12" s="1161"/>
      <c r="Z12" s="1161"/>
      <c r="AA12" s="1161"/>
      <c r="AB12" s="1161"/>
      <c r="AC12" s="1161"/>
      <c r="AD12" s="1161"/>
      <c r="AE12" s="1175"/>
      <c r="AF12" s="1175"/>
      <c r="AG12" s="1175"/>
      <c r="AH12" s="1181"/>
      <c r="AI12" s="1175"/>
      <c r="AJ12" s="1168"/>
      <c r="AK12" s="1168"/>
      <c r="AL12" s="1168"/>
      <c r="AM12" s="1168"/>
      <c r="AN12" s="1168"/>
      <c r="AO12" s="1168"/>
      <c r="AP12" s="1168"/>
      <c r="AQ12" s="1175"/>
    </row>
    <row r="13" spans="1:43" ht="12">
      <c r="A13" s="491" t="s">
        <v>14</v>
      </c>
      <c r="B13" s="490" t="s">
        <v>660</v>
      </c>
      <c r="C13" s="1144">
        <f>+'1.mell._Össz_Mérleg2014'!C61</f>
        <v>2700</v>
      </c>
      <c r="D13" s="489">
        <v>225</v>
      </c>
      <c r="E13" s="488">
        <v>225</v>
      </c>
      <c r="F13" s="488">
        <v>225</v>
      </c>
      <c r="G13" s="488">
        <v>225</v>
      </c>
      <c r="H13" s="488">
        <v>225</v>
      </c>
      <c r="I13" s="488">
        <v>225</v>
      </c>
      <c r="J13" s="488">
        <v>225</v>
      </c>
      <c r="K13" s="488">
        <v>225</v>
      </c>
      <c r="L13" s="488">
        <v>225</v>
      </c>
      <c r="M13" s="488">
        <v>225</v>
      </c>
      <c r="N13" s="488">
        <v>225</v>
      </c>
      <c r="O13" s="1241">
        <v>225</v>
      </c>
      <c r="P13" s="1244">
        <f t="shared" si="2"/>
        <v>2700</v>
      </c>
      <c r="Q13" s="217">
        <f t="shared" si="3"/>
        <v>225</v>
      </c>
      <c r="R13" s="936">
        <f t="shared" si="4"/>
        <v>0</v>
      </c>
      <c r="T13" s="1175"/>
      <c r="U13" s="1175"/>
      <c r="V13" s="1175"/>
      <c r="W13" s="1161"/>
      <c r="X13" s="1161"/>
      <c r="Y13" s="1161"/>
      <c r="Z13" s="1161"/>
      <c r="AA13" s="1161"/>
      <c r="AB13" s="1161"/>
      <c r="AC13" s="1161"/>
      <c r="AD13" s="1161"/>
      <c r="AE13" s="1175"/>
      <c r="AF13" s="1175"/>
      <c r="AG13" s="1175"/>
      <c r="AH13" s="1181"/>
      <c r="AI13" s="1175"/>
      <c r="AJ13" s="1175"/>
      <c r="AK13" s="1175"/>
      <c r="AL13" s="1175"/>
      <c r="AM13" s="1175"/>
      <c r="AN13" s="1175"/>
      <c r="AO13" s="1175"/>
      <c r="AP13" s="1175"/>
      <c r="AQ13" s="1175"/>
    </row>
    <row r="14" spans="1:43" ht="12">
      <c r="A14" s="491" t="s">
        <v>13</v>
      </c>
      <c r="B14" s="490" t="s">
        <v>661</v>
      </c>
      <c r="C14" s="1144">
        <f>+'1.mell._Össz_Mérleg2014'!C67</f>
        <v>90036</v>
      </c>
      <c r="D14" s="489">
        <v>90036</v>
      </c>
      <c r="E14" s="488"/>
      <c r="F14" s="488"/>
      <c r="G14" s="488"/>
      <c r="H14" s="488"/>
      <c r="I14" s="488"/>
      <c r="J14" s="488"/>
      <c r="K14" s="488"/>
      <c r="L14" s="488"/>
      <c r="M14" s="488"/>
      <c r="N14" s="488"/>
      <c r="O14" s="1241"/>
      <c r="P14" s="1244">
        <f t="shared" si="2"/>
        <v>90036</v>
      </c>
      <c r="Q14" s="217">
        <f t="shared" si="3"/>
        <v>7503</v>
      </c>
      <c r="R14" s="936">
        <f t="shared" si="4"/>
        <v>0</v>
      </c>
      <c r="T14" s="1175"/>
      <c r="U14" s="1175"/>
      <c r="V14" s="1175"/>
      <c r="W14" s="1161"/>
      <c r="X14" s="1161"/>
      <c r="Y14" s="1161"/>
      <c r="Z14" s="1161"/>
      <c r="AA14" s="1161"/>
      <c r="AB14" s="1161"/>
      <c r="AC14" s="1161"/>
      <c r="AD14" s="1161"/>
      <c r="AE14" s="1175"/>
      <c r="AF14" s="1175"/>
      <c r="AG14" s="1175"/>
      <c r="AH14" s="1181"/>
      <c r="AI14" s="1175"/>
      <c r="AJ14" s="1175"/>
      <c r="AK14" s="1175"/>
      <c r="AL14" s="1175"/>
      <c r="AM14" s="1175"/>
      <c r="AN14" s="1175"/>
      <c r="AO14" s="1175"/>
      <c r="AP14" s="1175"/>
      <c r="AQ14" s="1175"/>
    </row>
    <row r="15" spans="1:43" ht="12.75" thickBot="1">
      <c r="A15" s="491" t="s">
        <v>12</v>
      </c>
      <c r="B15" s="490" t="s">
        <v>662</v>
      </c>
      <c r="C15" s="1144">
        <f>+'1.mell._Össz_Mérleg2014'!C80</f>
        <v>0</v>
      </c>
      <c r="D15" s="1148"/>
      <c r="E15" s="1149"/>
      <c r="F15" s="1149"/>
      <c r="G15" s="1149"/>
      <c r="H15" s="1149"/>
      <c r="I15" s="1149"/>
      <c r="J15" s="1149"/>
      <c r="K15" s="1149"/>
      <c r="L15" s="1149"/>
      <c r="M15" s="1149"/>
      <c r="N15" s="1149"/>
      <c r="O15" s="1242"/>
      <c r="P15" s="1245">
        <f t="shared" si="2"/>
        <v>0</v>
      </c>
      <c r="Q15" s="217">
        <f t="shared" si="3"/>
        <v>0</v>
      </c>
      <c r="R15" s="936">
        <f t="shared" si="4"/>
        <v>0</v>
      </c>
      <c r="T15" s="1175"/>
      <c r="U15" s="1175"/>
      <c r="V15" s="1175"/>
      <c r="W15" s="1168"/>
      <c r="X15" s="1168"/>
      <c r="Y15" s="1168"/>
      <c r="Z15" s="1168"/>
      <c r="AA15" s="1168"/>
      <c r="AB15" s="1168"/>
      <c r="AC15" s="1168"/>
      <c r="AD15" s="1168"/>
      <c r="AE15" s="1175"/>
      <c r="AF15" s="1175"/>
      <c r="AG15" s="1175"/>
      <c r="AH15" s="1181"/>
      <c r="AI15" s="1175"/>
      <c r="AJ15" s="1175"/>
      <c r="AK15" s="1175"/>
      <c r="AL15" s="1175"/>
      <c r="AM15" s="1175"/>
      <c r="AN15" s="1175"/>
      <c r="AO15" s="1175"/>
      <c r="AP15" s="1175"/>
      <c r="AQ15" s="1175"/>
    </row>
    <row r="16" spans="1:43" ht="16.5" thickBot="1">
      <c r="A16" s="509" t="s">
        <v>11</v>
      </c>
      <c r="B16" s="501" t="s">
        <v>651</v>
      </c>
      <c r="C16" s="501">
        <f>SUM(C7:C15)</f>
        <v>1686903</v>
      </c>
      <c r="D16" s="1145">
        <f aca="true" t="shared" si="5" ref="D16:P16">SUM(D7:D15)</f>
        <v>250912</v>
      </c>
      <c r="E16" s="1146">
        <f t="shared" si="5"/>
        <v>126041</v>
      </c>
      <c r="F16" s="1146">
        <f t="shared" si="5"/>
        <v>270265</v>
      </c>
      <c r="G16" s="1146">
        <f t="shared" si="5"/>
        <v>126294</v>
      </c>
      <c r="H16" s="1146">
        <f t="shared" si="5"/>
        <v>113828</v>
      </c>
      <c r="I16" s="1146">
        <f t="shared" si="5"/>
        <v>155588</v>
      </c>
      <c r="J16" s="1146">
        <f t="shared" si="5"/>
        <v>70659</v>
      </c>
      <c r="K16" s="1146">
        <f t="shared" si="5"/>
        <v>120379</v>
      </c>
      <c r="L16" s="1146">
        <f t="shared" si="5"/>
        <v>188261</v>
      </c>
      <c r="M16" s="1146">
        <f t="shared" si="5"/>
        <v>75076</v>
      </c>
      <c r="N16" s="1146">
        <f t="shared" si="5"/>
        <v>80972</v>
      </c>
      <c r="O16" s="1147">
        <f t="shared" si="5"/>
        <v>108628</v>
      </c>
      <c r="P16" s="510">
        <f t="shared" si="5"/>
        <v>1686903</v>
      </c>
      <c r="Q16" s="217">
        <f t="shared" si="3"/>
        <v>140575.25</v>
      </c>
      <c r="R16" s="936">
        <f t="shared" si="4"/>
        <v>0</v>
      </c>
      <c r="T16" s="1175"/>
      <c r="U16" s="1175"/>
      <c r="V16" s="1175"/>
      <c r="W16" s="1188"/>
      <c r="X16" s="1188"/>
      <c r="Y16" s="1188"/>
      <c r="Z16" s="1188"/>
      <c r="AA16" s="1188"/>
      <c r="AB16" s="1188"/>
      <c r="AC16" s="1188"/>
      <c r="AD16" s="1175"/>
      <c r="AE16" s="1175"/>
      <c r="AF16" s="1175"/>
      <c r="AG16" s="1175"/>
      <c r="AH16" s="1181"/>
      <c r="AI16" s="1175"/>
      <c r="AJ16" s="1175"/>
      <c r="AK16" s="1175"/>
      <c r="AL16" s="1175"/>
      <c r="AM16" s="1175"/>
      <c r="AN16" s="1175"/>
      <c r="AO16" s="1175"/>
      <c r="AP16" s="1175"/>
      <c r="AQ16" s="1175"/>
    </row>
    <row r="17" spans="1:43" ht="12.75" thickBot="1">
      <c r="A17" s="511"/>
      <c r="B17" s="1348" t="s">
        <v>652</v>
      </c>
      <c r="C17" s="1349"/>
      <c r="D17" s="1352"/>
      <c r="E17" s="1352"/>
      <c r="F17" s="1352"/>
      <c r="G17" s="1352"/>
      <c r="H17" s="1352"/>
      <c r="I17" s="1352"/>
      <c r="J17" s="1352"/>
      <c r="K17" s="1352"/>
      <c r="L17" s="1352"/>
      <c r="M17" s="1352"/>
      <c r="N17" s="1352"/>
      <c r="O17" s="1352"/>
      <c r="P17" s="1351"/>
      <c r="Q17" s="217">
        <f t="shared" si="3"/>
        <v>0</v>
      </c>
      <c r="R17" s="936">
        <f t="shared" si="4"/>
        <v>0</v>
      </c>
      <c r="T17" s="1175"/>
      <c r="U17" s="1175"/>
      <c r="V17" s="1162">
        <v>96199.64266666667</v>
      </c>
      <c r="W17" s="1162">
        <v>61366.22466666667</v>
      </c>
      <c r="X17" s="1162">
        <v>61366.22466666667</v>
      </c>
      <c r="Y17" s="1162">
        <v>61620.06766666667</v>
      </c>
      <c r="Z17" s="1162">
        <v>61366.22466666667</v>
      </c>
      <c r="AA17" s="1162">
        <v>61366.22466666667</v>
      </c>
      <c r="AB17" s="1162">
        <v>61620.06766666667</v>
      </c>
      <c r="AC17" s="1162">
        <v>61366.22466666667</v>
      </c>
      <c r="AD17" s="1162">
        <v>62282.99966666667</v>
      </c>
      <c r="AE17" s="1162">
        <v>63262.85466666667</v>
      </c>
      <c r="AF17" s="1162">
        <v>62640.58766666667</v>
      </c>
      <c r="AG17" s="1162">
        <v>50700.13366666667</v>
      </c>
      <c r="AH17" s="1153">
        <f>SUM(V17:AG17)</f>
        <v>765157.4770000002</v>
      </c>
      <c r="AI17" s="1152">
        <f>+AH17-U17</f>
        <v>765157.4770000002</v>
      </c>
      <c r="AJ17" s="1175">
        <v>767707</v>
      </c>
      <c r="AK17" s="1175"/>
      <c r="AL17" s="1175"/>
      <c r="AM17" s="1175"/>
      <c r="AN17" s="1175"/>
      <c r="AO17" s="1175"/>
      <c r="AP17" s="1175"/>
      <c r="AQ17" s="1175"/>
    </row>
    <row r="18" spans="1:19" ht="12">
      <c r="A18" s="495" t="s">
        <v>10</v>
      </c>
      <c r="B18" s="494" t="s">
        <v>531</v>
      </c>
      <c r="C18" s="1142">
        <f>+'1.mell._Össz_Mérleg2014'!C101</f>
        <v>523384</v>
      </c>
      <c r="D18" s="493">
        <f>28253+46086</f>
        <v>74339</v>
      </c>
      <c r="E18" s="492">
        <f>28253+46086</f>
        <v>74339</v>
      </c>
      <c r="F18" s="492">
        <f>28253+46086</f>
        <v>74339</v>
      </c>
      <c r="G18" s="1240">
        <f>28254+46087</f>
        <v>74341</v>
      </c>
      <c r="H18" s="492">
        <v>28253</v>
      </c>
      <c r="I18" s="492">
        <v>28253</v>
      </c>
      <c r="J18" s="492">
        <v>28253</v>
      </c>
      <c r="K18" s="1240">
        <v>28254</v>
      </c>
      <c r="L18" s="492">
        <v>28253</v>
      </c>
      <c r="M18" s="492">
        <v>28253</v>
      </c>
      <c r="N18" s="492">
        <v>28253</v>
      </c>
      <c r="O18" s="1240">
        <v>28254</v>
      </c>
      <c r="P18" s="1243">
        <f aca="true" t="shared" si="6" ref="P18:P27">SUM(D18:O18)</f>
        <v>523384</v>
      </c>
      <c r="Q18" s="217">
        <f t="shared" si="3"/>
        <v>43615.333333333336</v>
      </c>
      <c r="R18" s="936">
        <f t="shared" si="4"/>
        <v>0</v>
      </c>
      <c r="S18" s="936"/>
    </row>
    <row r="19" spans="1:18" ht="12">
      <c r="A19" s="491" t="s">
        <v>9</v>
      </c>
      <c r="B19" s="490" t="s">
        <v>532</v>
      </c>
      <c r="C19" s="1144">
        <f>+'1.mell._Össz_Mérleg2014'!C105</f>
        <v>110637</v>
      </c>
      <c r="D19" s="489">
        <f>7145+6222</f>
        <v>13367</v>
      </c>
      <c r="E19" s="488">
        <f>7146+6222</f>
        <v>13368</v>
      </c>
      <c r="F19" s="488">
        <f>7145+6222</f>
        <v>13367</v>
      </c>
      <c r="G19" s="488">
        <f>7146+6222</f>
        <v>13368</v>
      </c>
      <c r="H19" s="488">
        <v>7145</v>
      </c>
      <c r="I19" s="488">
        <v>7146</v>
      </c>
      <c r="J19" s="488">
        <v>7145</v>
      </c>
      <c r="K19" s="488">
        <v>7146</v>
      </c>
      <c r="L19" s="488">
        <v>7145</v>
      </c>
      <c r="M19" s="488">
        <v>7146</v>
      </c>
      <c r="N19" s="488">
        <v>7145</v>
      </c>
      <c r="O19" s="488">
        <f>7146+3</f>
        <v>7149</v>
      </c>
      <c r="P19" s="1244">
        <f t="shared" si="6"/>
        <v>110637</v>
      </c>
      <c r="Q19" s="217">
        <f t="shared" si="3"/>
        <v>9219.75</v>
      </c>
      <c r="R19" s="936">
        <f t="shared" si="4"/>
        <v>0</v>
      </c>
    </row>
    <row r="20" spans="1:18" ht="12">
      <c r="A20" s="491" t="s">
        <v>73</v>
      </c>
      <c r="B20" s="490" t="s">
        <v>533</v>
      </c>
      <c r="C20" s="1144">
        <f>+'1.mell._Össz_Mérleg2014'!C107</f>
        <v>581830</v>
      </c>
      <c r="D20" s="489">
        <f>46000+1770+2054-1687</f>
        <v>48137</v>
      </c>
      <c r="E20" s="488">
        <f>46000+1770+2054-1687</f>
        <v>48137</v>
      </c>
      <c r="F20" s="488">
        <f>25000+45000+1770+2054-1687</f>
        <v>72137</v>
      </c>
      <c r="G20" s="488">
        <f>44000+1770+2054-1687</f>
        <v>46137</v>
      </c>
      <c r="H20" s="488">
        <f>44000+1770-1687</f>
        <v>44083</v>
      </c>
      <c r="I20" s="488">
        <f>43000+1770-1687</f>
        <v>43083</v>
      </c>
      <c r="J20" s="488">
        <f>38000+1770-1687</f>
        <v>38083</v>
      </c>
      <c r="K20" s="488">
        <f>38000+1770-1687</f>
        <v>38083</v>
      </c>
      <c r="L20" s="488">
        <f>25000+43000+1770-1687</f>
        <v>68083</v>
      </c>
      <c r="M20" s="488">
        <f>44000+1770-1687</f>
        <v>44083</v>
      </c>
      <c r="N20" s="488">
        <f>45000+1770-1687</f>
        <v>45083</v>
      </c>
      <c r="O20" s="1241">
        <f>46000+614+1770-1683</f>
        <v>46701</v>
      </c>
      <c r="P20" s="1244">
        <f t="shared" si="6"/>
        <v>581830</v>
      </c>
      <c r="Q20" s="217">
        <f t="shared" si="3"/>
        <v>48485.833333333336</v>
      </c>
      <c r="R20" s="936">
        <f t="shared" si="4"/>
        <v>0</v>
      </c>
    </row>
    <row r="21" spans="1:18" ht="12">
      <c r="A21" s="491" t="s">
        <v>72</v>
      </c>
      <c r="B21" s="490" t="s">
        <v>534</v>
      </c>
      <c r="C21" s="1144">
        <f>+'1.mell._Össz_Mérleg2014'!C114</f>
        <v>266825</v>
      </c>
      <c r="D21" s="489">
        <v>22235</v>
      </c>
      <c r="E21" s="488">
        <v>22235</v>
      </c>
      <c r="F21" s="1241">
        <v>22236</v>
      </c>
      <c r="G21" s="488">
        <v>22235</v>
      </c>
      <c r="H21" s="488">
        <v>22235</v>
      </c>
      <c r="I21" s="1241">
        <v>22236</v>
      </c>
      <c r="J21" s="488">
        <v>22235</v>
      </c>
      <c r="K21" s="488">
        <v>22235</v>
      </c>
      <c r="L21" s="1241">
        <v>22236</v>
      </c>
      <c r="M21" s="488">
        <v>22235</v>
      </c>
      <c r="N21" s="488">
        <v>22235</v>
      </c>
      <c r="O21" s="488">
        <v>22237</v>
      </c>
      <c r="P21" s="1244">
        <f t="shared" si="6"/>
        <v>266825</v>
      </c>
      <c r="Q21" s="217">
        <f t="shared" si="3"/>
        <v>22235.416666666668</v>
      </c>
      <c r="R21" s="936">
        <f t="shared" si="4"/>
        <v>0</v>
      </c>
    </row>
    <row r="22" spans="1:18" ht="12">
      <c r="A22" s="491" t="s">
        <v>71</v>
      </c>
      <c r="B22" s="490" t="s">
        <v>535</v>
      </c>
      <c r="C22" s="1144">
        <f>+'1.mell._Össz_Mérleg2014'!C123</f>
        <v>92448</v>
      </c>
      <c r="D22" s="489">
        <f>30615+1648-83</f>
        <v>32180</v>
      </c>
      <c r="E22" s="488">
        <f aca="true" t="shared" si="7" ref="E22:N22">1648-83</f>
        <v>1565</v>
      </c>
      <c r="F22" s="488">
        <f t="shared" si="7"/>
        <v>1565</v>
      </c>
      <c r="G22" s="488">
        <f t="shared" si="7"/>
        <v>1565</v>
      </c>
      <c r="H22" s="488">
        <f t="shared" si="7"/>
        <v>1565</v>
      </c>
      <c r="I22" s="488">
        <f t="shared" si="7"/>
        <v>1565</v>
      </c>
      <c r="J22" s="488">
        <f t="shared" si="7"/>
        <v>1565</v>
      </c>
      <c r="K22" s="488">
        <f t="shared" si="7"/>
        <v>1565</v>
      </c>
      <c r="L22" s="488">
        <f t="shared" si="7"/>
        <v>1565</v>
      </c>
      <c r="M22" s="488">
        <f t="shared" si="7"/>
        <v>1565</v>
      </c>
      <c r="N22" s="488">
        <f t="shared" si="7"/>
        <v>1565</v>
      </c>
      <c r="O22" s="1241">
        <f>43057+1648-87</f>
        <v>44618</v>
      </c>
      <c r="P22" s="1244">
        <f t="shared" si="6"/>
        <v>92448</v>
      </c>
      <c r="Q22" s="217">
        <f t="shared" si="3"/>
        <v>7704</v>
      </c>
      <c r="R22" s="936">
        <f t="shared" si="4"/>
        <v>0</v>
      </c>
    </row>
    <row r="23" spans="1:18" ht="12">
      <c r="A23" s="491" t="s">
        <v>68</v>
      </c>
      <c r="B23" s="490" t="s">
        <v>536</v>
      </c>
      <c r="C23" s="1144">
        <f>+'1.mell._Össz_Mérleg2014'!C140</f>
        <v>96779</v>
      </c>
      <c r="D23" s="489">
        <f>4000+1300</f>
        <v>5300</v>
      </c>
      <c r="E23" s="488">
        <v>1300</v>
      </c>
      <c r="F23" s="488">
        <f>3540+1300</f>
        <v>4840</v>
      </c>
      <c r="G23" s="488">
        <v>1300</v>
      </c>
      <c r="H23" s="488">
        <f>20000</f>
        <v>20000</v>
      </c>
      <c r="I23" s="488">
        <f>64039</f>
        <v>64039</v>
      </c>
      <c r="J23" s="488"/>
      <c r="K23" s="488"/>
      <c r="L23" s="488"/>
      <c r="M23" s="488"/>
      <c r="N23" s="488"/>
      <c r="O23" s="1241"/>
      <c r="P23" s="1244">
        <f t="shared" si="6"/>
        <v>96779</v>
      </c>
      <c r="Q23" s="217">
        <f t="shared" si="3"/>
        <v>8064.916666666667</v>
      </c>
      <c r="R23" s="936">
        <f t="shared" si="4"/>
        <v>0</v>
      </c>
    </row>
    <row r="24" spans="1:18" ht="12">
      <c r="A24" s="491" t="s">
        <v>67</v>
      </c>
      <c r="B24" s="490" t="s">
        <v>537</v>
      </c>
      <c r="C24" s="1144">
        <f>+'1.mell._Össz_Mérleg2014'!C149</f>
        <v>15000</v>
      </c>
      <c r="D24" s="489"/>
      <c r="E24" s="488"/>
      <c r="F24" s="488"/>
      <c r="G24" s="488"/>
      <c r="H24" s="488">
        <v>15000</v>
      </c>
      <c r="I24" s="488"/>
      <c r="J24" s="488"/>
      <c r="K24" s="488"/>
      <c r="L24" s="488"/>
      <c r="M24" s="488"/>
      <c r="N24" s="488"/>
      <c r="O24" s="1241"/>
      <c r="P24" s="1244">
        <f t="shared" si="6"/>
        <v>15000</v>
      </c>
      <c r="Q24" s="217">
        <f t="shared" si="3"/>
        <v>1250</v>
      </c>
      <c r="R24" s="936">
        <f t="shared" si="4"/>
        <v>0</v>
      </c>
    </row>
    <row r="25" spans="1:18" ht="12">
      <c r="A25" s="491" t="s">
        <v>66</v>
      </c>
      <c r="B25" s="490" t="s">
        <v>538</v>
      </c>
      <c r="C25" s="1144">
        <f>+'1.mell._Össz_Mérleg2014'!C155</f>
        <v>0</v>
      </c>
      <c r="D25" s="489"/>
      <c r="E25" s="488"/>
      <c r="F25" s="488"/>
      <c r="G25" s="488"/>
      <c r="H25" s="488"/>
      <c r="I25" s="488"/>
      <c r="J25" s="488"/>
      <c r="K25" s="488"/>
      <c r="L25" s="488"/>
      <c r="M25" s="488"/>
      <c r="N25" s="488"/>
      <c r="O25" s="1241"/>
      <c r="P25" s="1244">
        <f t="shared" si="6"/>
        <v>0</v>
      </c>
      <c r="Q25" s="217">
        <f t="shared" si="3"/>
        <v>0</v>
      </c>
      <c r="R25" s="936">
        <f t="shared" si="4"/>
        <v>0</v>
      </c>
    </row>
    <row r="26" spans="1:18" ht="12">
      <c r="A26" s="491" t="s">
        <v>65</v>
      </c>
      <c r="B26" s="490" t="s">
        <v>663</v>
      </c>
      <c r="C26" s="1144">
        <f>+'1.mell._Össz_Mérleg2014'!C167</f>
        <v>0</v>
      </c>
      <c r="D26" s="489"/>
      <c r="E26" s="488"/>
      <c r="F26" s="488"/>
      <c r="G26" s="488"/>
      <c r="H26" s="488"/>
      <c r="I26" s="488"/>
      <c r="J26" s="488"/>
      <c r="K26" s="488"/>
      <c r="L26" s="488"/>
      <c r="M26" s="488"/>
      <c r="N26" s="488"/>
      <c r="O26" s="1241"/>
      <c r="P26" s="1244">
        <f t="shared" si="6"/>
        <v>0</v>
      </c>
      <c r="Q26" s="217">
        <f t="shared" si="3"/>
        <v>0</v>
      </c>
      <c r="R26" s="936">
        <f t="shared" si="4"/>
        <v>0</v>
      </c>
    </row>
    <row r="27" spans="1:18" ht="12.75" thickBot="1">
      <c r="A27" s="522" t="s">
        <v>64</v>
      </c>
      <c r="B27" s="523" t="s">
        <v>664</v>
      </c>
      <c r="C27" s="1150">
        <f>+'1.mell._Össz_Mérleg2014'!C180</f>
        <v>0</v>
      </c>
      <c r="D27" s="1148"/>
      <c r="E27" s="1149"/>
      <c r="F27" s="1149"/>
      <c r="G27" s="1149"/>
      <c r="H27" s="1149"/>
      <c r="I27" s="1149"/>
      <c r="J27" s="1149"/>
      <c r="K27" s="1149"/>
      <c r="L27" s="1149"/>
      <c r="M27" s="1149"/>
      <c r="N27" s="1149"/>
      <c r="O27" s="1242"/>
      <c r="P27" s="1245">
        <f t="shared" si="6"/>
        <v>0</v>
      </c>
      <c r="Q27" s="217">
        <f t="shared" si="3"/>
        <v>0</v>
      </c>
      <c r="R27" s="936">
        <f t="shared" si="4"/>
        <v>0</v>
      </c>
    </row>
    <row r="28" spans="1:18" ht="12.75" thickBot="1">
      <c r="A28" s="509" t="s">
        <v>63</v>
      </c>
      <c r="B28" s="501" t="s">
        <v>653</v>
      </c>
      <c r="C28" s="501">
        <f>SUM(C18:C27)</f>
        <v>1686903</v>
      </c>
      <c r="D28" s="1146">
        <f aca="true" t="shared" si="8" ref="D28:P28">SUM(D18:D27)</f>
        <v>195558</v>
      </c>
      <c r="E28" s="1146">
        <f t="shared" si="8"/>
        <v>160944</v>
      </c>
      <c r="F28" s="1146">
        <f t="shared" si="8"/>
        <v>188484</v>
      </c>
      <c r="G28" s="1146">
        <f t="shared" si="8"/>
        <v>158946</v>
      </c>
      <c r="H28" s="1146">
        <f t="shared" si="8"/>
        <v>138281</v>
      </c>
      <c r="I28" s="1146">
        <f t="shared" si="8"/>
        <v>166322</v>
      </c>
      <c r="J28" s="1146">
        <f t="shared" si="8"/>
        <v>97281</v>
      </c>
      <c r="K28" s="1146">
        <f t="shared" si="8"/>
        <v>97283</v>
      </c>
      <c r="L28" s="1146">
        <f t="shared" si="8"/>
        <v>127282</v>
      </c>
      <c r="M28" s="1146">
        <f t="shared" si="8"/>
        <v>103282</v>
      </c>
      <c r="N28" s="1146">
        <f t="shared" si="8"/>
        <v>104281</v>
      </c>
      <c r="O28" s="1151">
        <f t="shared" si="8"/>
        <v>148959</v>
      </c>
      <c r="P28" s="512">
        <f t="shared" si="8"/>
        <v>1686903</v>
      </c>
      <c r="R28" s="936">
        <f t="shared" si="4"/>
        <v>0</v>
      </c>
    </row>
    <row r="29" spans="1:18" ht="12.75" thickBot="1">
      <c r="A29" s="513" t="s">
        <v>62</v>
      </c>
      <c r="B29" s="502" t="s">
        <v>665</v>
      </c>
      <c r="C29" s="515">
        <f>+C16-C28</f>
        <v>0</v>
      </c>
      <c r="D29" s="516">
        <f aca="true" t="shared" si="9" ref="D29:P29">+D16-D28</f>
        <v>55354</v>
      </c>
      <c r="E29" s="516">
        <f t="shared" si="9"/>
        <v>-34903</v>
      </c>
      <c r="F29" s="516">
        <f t="shared" si="9"/>
        <v>81781</v>
      </c>
      <c r="G29" s="516">
        <f t="shared" si="9"/>
        <v>-32652</v>
      </c>
      <c r="H29" s="516">
        <f t="shared" si="9"/>
        <v>-24453</v>
      </c>
      <c r="I29" s="516">
        <f t="shared" si="9"/>
        <v>-10734</v>
      </c>
      <c r="J29" s="516">
        <f t="shared" si="9"/>
        <v>-26622</v>
      </c>
      <c r="K29" s="516">
        <f t="shared" si="9"/>
        <v>23096</v>
      </c>
      <c r="L29" s="516">
        <f t="shared" si="9"/>
        <v>60979</v>
      </c>
      <c r="M29" s="516">
        <f t="shared" si="9"/>
        <v>-28206</v>
      </c>
      <c r="N29" s="516">
        <f t="shared" si="9"/>
        <v>-23309</v>
      </c>
      <c r="O29" s="514">
        <f t="shared" si="9"/>
        <v>-40331</v>
      </c>
      <c r="P29" s="517">
        <f t="shared" si="9"/>
        <v>0</v>
      </c>
      <c r="R29" s="936">
        <f t="shared" si="4"/>
        <v>0</v>
      </c>
    </row>
    <row r="30" spans="1:18" ht="12.75" thickBot="1">
      <c r="A30" s="513" t="s">
        <v>61</v>
      </c>
      <c r="B30" s="502" t="s">
        <v>666</v>
      </c>
      <c r="C30" s="515">
        <f>+C29</f>
        <v>0</v>
      </c>
      <c r="D30" s="516">
        <f>+D29</f>
        <v>55354</v>
      </c>
      <c r="E30" s="516">
        <f>+D30+E29</f>
        <v>20451</v>
      </c>
      <c r="F30" s="516">
        <f aca="true" t="shared" si="10" ref="F30:O30">+E30+F29</f>
        <v>102232</v>
      </c>
      <c r="G30" s="516">
        <f t="shared" si="10"/>
        <v>69580</v>
      </c>
      <c r="H30" s="516">
        <f t="shared" si="10"/>
        <v>45127</v>
      </c>
      <c r="I30" s="516">
        <f t="shared" si="10"/>
        <v>34393</v>
      </c>
      <c r="J30" s="516">
        <f t="shared" si="10"/>
        <v>7771</v>
      </c>
      <c r="K30" s="516">
        <f t="shared" si="10"/>
        <v>30867</v>
      </c>
      <c r="L30" s="516">
        <f t="shared" si="10"/>
        <v>91846</v>
      </c>
      <c r="M30" s="516">
        <f t="shared" si="10"/>
        <v>63640</v>
      </c>
      <c r="N30" s="516">
        <f t="shared" si="10"/>
        <v>40331</v>
      </c>
      <c r="O30" s="514">
        <f t="shared" si="10"/>
        <v>0</v>
      </c>
      <c r="P30" s="517">
        <f>+P29</f>
        <v>0</v>
      </c>
      <c r="R30" s="936">
        <f t="shared" si="4"/>
        <v>0</v>
      </c>
    </row>
    <row r="31" spans="1:18" ht="12">
      <c r="A31" s="209"/>
      <c r="B31" s="209"/>
      <c r="C31" s="209"/>
      <c r="D31" s="518"/>
      <c r="E31" s="518"/>
      <c r="F31" s="518"/>
      <c r="G31" s="518"/>
      <c r="H31" s="518"/>
      <c r="I31" s="518"/>
      <c r="J31" s="518"/>
      <c r="K31" s="518"/>
      <c r="L31" s="518"/>
      <c r="M31" s="518"/>
      <c r="N31" s="518"/>
      <c r="O31" s="518"/>
      <c r="P31" s="209"/>
      <c r="R31" s="936">
        <f t="shared" si="4"/>
        <v>0</v>
      </c>
    </row>
    <row r="32" spans="1:16" ht="12">
      <c r="A32" s="209"/>
      <c r="B32" s="209"/>
      <c r="C32" s="209"/>
      <c r="D32" s="209"/>
      <c r="E32" s="209"/>
      <c r="F32" s="209"/>
      <c r="G32" s="209"/>
      <c r="H32" s="209"/>
      <c r="I32" s="209"/>
      <c r="J32" s="209"/>
      <c r="K32" s="209"/>
      <c r="L32" s="209"/>
      <c r="M32" s="209"/>
      <c r="N32" s="209"/>
      <c r="O32" s="209"/>
      <c r="P32" s="209"/>
    </row>
    <row r="33" spans="1:16" ht="12">
      <c r="A33" s="209"/>
      <c r="B33" s="209"/>
      <c r="C33" s="209"/>
      <c r="D33" s="209"/>
      <c r="E33" s="519"/>
      <c r="F33" s="519"/>
      <c r="G33" s="519"/>
      <c r="H33" s="519"/>
      <c r="I33" s="519"/>
      <c r="J33" s="520"/>
      <c r="K33" s="520"/>
      <c r="L33" s="520"/>
      <c r="M33" s="520"/>
      <c r="N33" s="520"/>
      <c r="O33" s="520"/>
      <c r="P33" s="209"/>
    </row>
    <row r="34" spans="1:16" ht="12">
      <c r="A34" s="209"/>
      <c r="B34" s="209"/>
      <c r="C34" s="209"/>
      <c r="D34" s="209"/>
      <c r="E34" s="209"/>
      <c r="F34" s="209"/>
      <c r="G34" s="209"/>
      <c r="H34" s="209"/>
      <c r="I34" s="209"/>
      <c r="J34" s="209"/>
      <c r="K34" s="519"/>
      <c r="L34" s="519"/>
      <c r="M34" s="209"/>
      <c r="N34" s="209"/>
      <c r="O34" s="209"/>
      <c r="P34" s="209"/>
    </row>
    <row r="35" spans="1:16" ht="12">
      <c r="A35" s="209"/>
      <c r="B35" s="209"/>
      <c r="C35" s="209"/>
      <c r="D35" s="209"/>
      <c r="E35" s="209"/>
      <c r="F35" s="209"/>
      <c r="G35" s="209"/>
      <c r="H35" s="209"/>
      <c r="I35" s="209"/>
      <c r="J35" s="209"/>
      <c r="K35" s="519"/>
      <c r="L35" s="519"/>
      <c r="M35" s="209"/>
      <c r="N35" s="209"/>
      <c r="O35" s="209"/>
      <c r="P35" s="209"/>
    </row>
    <row r="36" spans="1:16" ht="12">
      <c r="A36" s="209"/>
      <c r="B36" s="209"/>
      <c r="C36" s="209"/>
      <c r="D36" s="209"/>
      <c r="E36" s="209"/>
      <c r="F36" s="209"/>
      <c r="G36" s="209"/>
      <c r="H36" s="209"/>
      <c r="I36" s="209"/>
      <c r="J36" s="209"/>
      <c r="K36" s="519"/>
      <c r="L36" s="519"/>
      <c r="M36" s="209"/>
      <c r="N36" s="209"/>
      <c r="O36" s="209"/>
      <c r="P36" s="209"/>
    </row>
    <row r="37" spans="1:16" ht="12">
      <c r="A37" s="209"/>
      <c r="B37" s="209"/>
      <c r="C37" s="209"/>
      <c r="D37" s="209"/>
      <c r="E37" s="209"/>
      <c r="F37" s="209"/>
      <c r="G37" s="209"/>
      <c r="H37" s="209"/>
      <c r="I37" s="209"/>
      <c r="J37" s="209"/>
      <c r="K37" s="519"/>
      <c r="L37" s="519"/>
      <c r="M37" s="209"/>
      <c r="N37" s="209"/>
      <c r="O37" s="209"/>
      <c r="P37" s="209"/>
    </row>
    <row r="38" spans="1:16" ht="12">
      <c r="A38" s="209"/>
      <c r="B38" s="209"/>
      <c r="C38" s="209"/>
      <c r="D38" s="209"/>
      <c r="E38" s="209"/>
      <c r="F38" s="209"/>
      <c r="G38" s="209"/>
      <c r="H38" s="209"/>
      <c r="I38" s="209"/>
      <c r="J38" s="209"/>
      <c r="K38" s="519"/>
      <c r="L38" s="519"/>
      <c r="M38" s="209"/>
      <c r="N38" s="209"/>
      <c r="O38" s="209"/>
      <c r="P38" s="209"/>
    </row>
    <row r="39" spans="1:16" ht="12">
      <c r="A39" s="209"/>
      <c r="B39" s="209"/>
      <c r="C39" s="209"/>
      <c r="D39" s="209"/>
      <c r="E39" s="209"/>
      <c r="F39" s="209"/>
      <c r="G39" s="209"/>
      <c r="H39" s="209"/>
      <c r="I39" s="209"/>
      <c r="J39" s="209"/>
      <c r="K39" s="519"/>
      <c r="L39" s="519"/>
      <c r="M39" s="209"/>
      <c r="N39" s="209"/>
      <c r="O39" s="209"/>
      <c r="P39" s="209"/>
    </row>
    <row r="40" spans="4:12" ht="12">
      <c r="D40" s="209"/>
      <c r="E40" s="209"/>
      <c r="F40" s="209"/>
      <c r="G40" s="209"/>
      <c r="H40" s="209"/>
      <c r="I40" s="209"/>
      <c r="J40" s="209"/>
      <c r="K40" s="519"/>
      <c r="L40" s="519"/>
    </row>
    <row r="41" spans="4:12" ht="12">
      <c r="D41" s="518"/>
      <c r="E41" s="518"/>
      <c r="F41" s="518"/>
      <c r="G41" s="518"/>
      <c r="H41" s="518"/>
      <c r="I41" s="518"/>
      <c r="J41" s="518"/>
      <c r="K41" s="519"/>
      <c r="L41" s="519"/>
    </row>
  </sheetData>
  <sheetProtection/>
  <mergeCells count="3">
    <mergeCell ref="A3:P3"/>
    <mergeCell ref="B6:P6"/>
    <mergeCell ref="B17:P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</sheetPr>
  <dimension ref="A1:AE227"/>
  <sheetViews>
    <sheetView zoomScale="80" zoomScaleNormal="80" zoomScalePageLayoutView="0" workbookViewId="0" topLeftCell="A1">
      <selection activeCell="E1" sqref="E1"/>
    </sheetView>
  </sheetViews>
  <sheetFormatPr defaultColWidth="9.00390625" defaultRowHeight="12.75"/>
  <cols>
    <col min="1" max="1" width="6.625" style="30" customWidth="1"/>
    <col min="2" max="2" width="109.625" style="30" bestFit="1" customWidth="1"/>
    <col min="3" max="5" width="11.00390625" style="30" customWidth="1"/>
    <col min="6" max="16384" width="9.125" style="30" customWidth="1"/>
  </cols>
  <sheetData>
    <row r="1" s="90" customFormat="1" ht="15.75">
      <c r="E1" s="91" t="s">
        <v>1414</v>
      </c>
    </row>
    <row r="2" s="90" customFormat="1" ht="15.75"/>
    <row r="3" spans="1:5" s="92" customFormat="1" ht="15.75">
      <c r="A3" s="1298" t="s">
        <v>382</v>
      </c>
      <c r="B3" s="1298"/>
      <c r="C3" s="1298"/>
      <c r="D3" s="1298"/>
      <c r="E3" s="1298"/>
    </row>
    <row r="4" spans="1:5" s="92" customFormat="1" ht="15.75">
      <c r="A4" s="1298" t="s">
        <v>381</v>
      </c>
      <c r="B4" s="1298"/>
      <c r="C4" s="1298"/>
      <c r="D4" s="1298"/>
      <c r="E4" s="1298"/>
    </row>
    <row r="5" spans="1:31" s="90" customFormat="1" ht="15.75">
      <c r="A5" s="1353" t="s">
        <v>667</v>
      </c>
      <c r="B5" s="1353"/>
      <c r="C5" s="1353"/>
      <c r="D5" s="1353"/>
      <c r="E5" s="1353"/>
      <c r="F5" s="558"/>
      <c r="G5" s="558"/>
      <c r="H5" s="559"/>
      <c r="I5" s="559"/>
      <c r="J5" s="559"/>
      <c r="K5" s="559"/>
      <c r="L5" s="559"/>
      <c r="M5" s="559"/>
      <c r="N5" s="559"/>
      <c r="O5" s="559"/>
      <c r="P5" s="559"/>
      <c r="Q5" s="559"/>
      <c r="R5" s="559"/>
      <c r="S5" s="559"/>
      <c r="T5" s="559"/>
      <c r="U5" s="559"/>
      <c r="V5" s="559"/>
      <c r="W5" s="559"/>
      <c r="X5" s="559"/>
      <c r="Y5" s="559"/>
      <c r="Z5" s="559"/>
      <c r="AA5" s="559"/>
      <c r="AB5" s="559"/>
      <c r="AC5" s="559"/>
      <c r="AD5" s="559"/>
      <c r="AE5" s="559"/>
    </row>
    <row r="6" spans="1:5" s="92" customFormat="1" ht="15.75">
      <c r="A6" s="1298" t="s">
        <v>76</v>
      </c>
      <c r="B6" s="1298"/>
      <c r="C6" s="1298"/>
      <c r="D6" s="1298"/>
      <c r="E6" s="1298"/>
    </row>
    <row r="7" spans="1:5" s="73" customFormat="1" ht="12.75" thickBot="1">
      <c r="A7" s="75" t="s">
        <v>318</v>
      </c>
      <c r="E7" s="74" t="s">
        <v>319</v>
      </c>
    </row>
    <row r="8" spans="1:5" s="35" customFormat="1" ht="54" customHeight="1" thickBot="1">
      <c r="A8" s="123" t="s">
        <v>17</v>
      </c>
      <c r="B8" s="137" t="s">
        <v>378</v>
      </c>
      <c r="C8" s="557" t="s">
        <v>668</v>
      </c>
      <c r="D8" s="33" t="s">
        <v>669</v>
      </c>
      <c r="E8" s="31" t="s">
        <v>419</v>
      </c>
    </row>
    <row r="9" spans="1:5" s="29" customFormat="1" ht="12.75" thickBot="1">
      <c r="A9" s="127" t="s">
        <v>291</v>
      </c>
      <c r="B9" s="138" t="s">
        <v>292</v>
      </c>
      <c r="C9" s="564" t="s">
        <v>293</v>
      </c>
      <c r="D9" s="36" t="s">
        <v>421</v>
      </c>
      <c r="E9" s="940" t="s">
        <v>422</v>
      </c>
    </row>
    <row r="10" spans="1:5" s="29" customFormat="1" ht="12.75" thickBot="1">
      <c r="A10" s="139" t="s">
        <v>4</v>
      </c>
      <c r="B10" s="107" t="s">
        <v>335</v>
      </c>
      <c r="C10" s="561">
        <f>+C11+C25+C32+C43</f>
        <v>2366195</v>
      </c>
      <c r="D10" s="198">
        <f>+D11+D25+D32+D43</f>
        <v>1495494</v>
      </c>
      <c r="E10" s="562">
        <f>+E11+E25+E32+E43</f>
        <v>1570511</v>
      </c>
    </row>
    <row r="11" spans="1:5" s="29" customFormat="1" ht="12.75" customHeight="1" thickBot="1">
      <c r="A11" s="127" t="s">
        <v>5</v>
      </c>
      <c r="B11" s="108" t="s">
        <v>336</v>
      </c>
      <c r="C11" s="196">
        <f>+C12+C19+C20+C21+C22+C23</f>
        <v>1500496</v>
      </c>
      <c r="D11" s="61">
        <f>+D12+D19+D20+D21+D22+D23</f>
        <v>1076599</v>
      </c>
      <c r="E11" s="556">
        <f>+E12+E19+E20+E21+E22+E23</f>
        <v>1126437</v>
      </c>
    </row>
    <row r="12" spans="1:5" s="29" customFormat="1" ht="12">
      <c r="A12" s="128" t="s">
        <v>82</v>
      </c>
      <c r="B12" s="109" t="s">
        <v>337</v>
      </c>
      <c r="C12" s="546">
        <f>+C13+C14+C15+C16+C17+C18</f>
        <v>1129986</v>
      </c>
      <c r="D12" s="38">
        <f>+D13+D14+D15+D16+D17+D18</f>
        <v>844112</v>
      </c>
      <c r="E12" s="563">
        <f>+E13+E14+E15+E16+E17+E18</f>
        <v>879197</v>
      </c>
    </row>
    <row r="13" spans="1:6" s="41" customFormat="1" ht="12">
      <c r="A13" s="130" t="s">
        <v>228</v>
      </c>
      <c r="B13" s="110" t="s">
        <v>121</v>
      </c>
      <c r="C13" s="542">
        <f>605391-139665-394380+42985-1</f>
        <v>114330</v>
      </c>
      <c r="D13" s="40">
        <v>163603</v>
      </c>
      <c r="E13" s="550">
        <f>+'1.mell._Össz_Mérleg2014'!C13</f>
        <v>222213</v>
      </c>
      <c r="F13" s="29"/>
    </row>
    <row r="14" spans="1:6" s="41" customFormat="1" ht="12">
      <c r="A14" s="130" t="s">
        <v>229</v>
      </c>
      <c r="B14" s="110" t="s">
        <v>122</v>
      </c>
      <c r="C14" s="542">
        <f>394380+63828</f>
        <v>458208</v>
      </c>
      <c r="D14" s="40">
        <v>216680</v>
      </c>
      <c r="E14" s="550">
        <f>+'1.mell._Össz_Mérleg2014'!C14</f>
        <v>183133</v>
      </c>
      <c r="F14" s="29"/>
    </row>
    <row r="15" spans="1:6" s="41" customFormat="1" ht="12">
      <c r="A15" s="130" t="s">
        <v>230</v>
      </c>
      <c r="B15" s="110" t="s">
        <v>123</v>
      </c>
      <c r="C15" s="542">
        <f>139665+246686</f>
        <v>386351</v>
      </c>
      <c r="D15" s="40">
        <v>346749</v>
      </c>
      <c r="E15" s="550">
        <f>+'1.mell._Össz_Mérleg2014'!C15</f>
        <v>340169</v>
      </c>
      <c r="F15" s="29"/>
    </row>
    <row r="16" spans="1:6" s="41" customFormat="1" ht="12">
      <c r="A16" s="130" t="s">
        <v>231</v>
      </c>
      <c r="B16" s="110" t="s">
        <v>124</v>
      </c>
      <c r="C16" s="542"/>
      <c r="D16" s="40">
        <v>16263</v>
      </c>
      <c r="E16" s="550">
        <f>+'1.mell._Össz_Mérleg2014'!C16</f>
        <v>16277</v>
      </c>
      <c r="F16" s="29"/>
    </row>
    <row r="17" spans="1:6" s="41" customFormat="1" ht="12">
      <c r="A17" s="130" t="s">
        <v>232</v>
      </c>
      <c r="B17" s="110" t="s">
        <v>125</v>
      </c>
      <c r="C17" s="542">
        <v>9704</v>
      </c>
      <c r="D17" s="40">
        <v>100817</v>
      </c>
      <c r="E17" s="550">
        <f>+'1.mell._Össz_Mérleg2014'!C17</f>
        <v>3366</v>
      </c>
      <c r="F17" s="29"/>
    </row>
    <row r="18" spans="1:6" s="41" customFormat="1" ht="12">
      <c r="A18" s="130" t="s">
        <v>233</v>
      </c>
      <c r="B18" s="110" t="s">
        <v>126</v>
      </c>
      <c r="C18" s="542">
        <v>161393</v>
      </c>
      <c r="D18" s="40">
        <v>0</v>
      </c>
      <c r="E18" s="550">
        <f>+'1.mell._Össz_Mérleg2014'!C18</f>
        <v>114039</v>
      </c>
      <c r="F18" s="29"/>
    </row>
    <row r="19" spans="1:6" ht="12">
      <c r="A19" s="129" t="s">
        <v>83</v>
      </c>
      <c r="B19" s="111" t="s">
        <v>127</v>
      </c>
      <c r="C19" s="544"/>
      <c r="D19" s="39">
        <v>0</v>
      </c>
      <c r="E19" s="552">
        <f>+'1.mell._Össz_Mérleg2014'!C19</f>
        <v>0</v>
      </c>
      <c r="F19" s="29"/>
    </row>
    <row r="20" spans="1:6" ht="12">
      <c r="A20" s="129" t="s">
        <v>111</v>
      </c>
      <c r="B20" s="111" t="s">
        <v>128</v>
      </c>
      <c r="C20" s="544"/>
      <c r="D20" s="39">
        <v>0</v>
      </c>
      <c r="E20" s="552">
        <f>+'1.mell._Össz_Mérleg2014'!C20</f>
        <v>0</v>
      </c>
      <c r="F20" s="29"/>
    </row>
    <row r="21" spans="1:6" ht="12">
      <c r="A21" s="129" t="s">
        <v>112</v>
      </c>
      <c r="B21" s="111" t="s">
        <v>129</v>
      </c>
      <c r="C21" s="544"/>
      <c r="D21" s="39">
        <v>0</v>
      </c>
      <c r="E21" s="552">
        <f>+'1.mell._Össz_Mérleg2014'!C21</f>
        <v>0</v>
      </c>
      <c r="F21" s="29"/>
    </row>
    <row r="22" spans="1:6" ht="12">
      <c r="A22" s="129" t="s">
        <v>113</v>
      </c>
      <c r="B22" s="111" t="s">
        <v>130</v>
      </c>
      <c r="C22" s="544"/>
      <c r="D22" s="39">
        <v>0</v>
      </c>
      <c r="E22" s="552">
        <f>+'1.mell._Össz_Mérleg2014'!C22</f>
        <v>0</v>
      </c>
      <c r="F22" s="29"/>
    </row>
    <row r="23" spans="1:6" ht="12">
      <c r="A23" s="122" t="s">
        <v>114</v>
      </c>
      <c r="B23" s="112" t="s">
        <v>131</v>
      </c>
      <c r="C23" s="545">
        <f>211254+159256</f>
        <v>370510</v>
      </c>
      <c r="D23" s="55">
        <v>232487</v>
      </c>
      <c r="E23" s="553">
        <f>+'1.mell._Össz_Mérleg2014'!C23</f>
        <v>247240</v>
      </c>
      <c r="F23" s="29"/>
    </row>
    <row r="24" spans="1:6" s="41" customFormat="1" ht="12.75" thickBot="1">
      <c r="A24" s="133" t="s">
        <v>384</v>
      </c>
      <c r="B24" s="106" t="s">
        <v>385</v>
      </c>
      <c r="C24" s="543">
        <v>70331</v>
      </c>
      <c r="D24" s="81">
        <v>43171</v>
      </c>
      <c r="E24" s="551">
        <f>+'1.mell._Össz_Mérleg2014'!C24</f>
        <v>0</v>
      </c>
      <c r="F24" s="29"/>
    </row>
    <row r="25" spans="1:5" s="29" customFormat="1" ht="12.75" customHeight="1" thickBot="1">
      <c r="A25" s="127" t="s">
        <v>6</v>
      </c>
      <c r="B25" s="108" t="s">
        <v>1090</v>
      </c>
      <c r="C25" s="561">
        <f>+C26+C27+C28+C29+C30+C31</f>
        <v>700614</v>
      </c>
      <c r="D25" s="198">
        <f>+D26+D27+D28+D29+D30+D31</f>
        <v>293222</v>
      </c>
      <c r="E25" s="938">
        <f>+E26+E27+E28+E29+E30+E31</f>
        <v>295460</v>
      </c>
    </row>
    <row r="26" spans="1:6" ht="12.75" customHeight="1">
      <c r="A26" s="128" t="s">
        <v>86</v>
      </c>
      <c r="B26" s="109" t="s">
        <v>132</v>
      </c>
      <c r="C26" s="939">
        <v>69</v>
      </c>
      <c r="D26" s="87">
        <v>187</v>
      </c>
      <c r="E26" s="88">
        <f>+'1.mell._Össz_Mérleg2014'!C26</f>
        <v>200</v>
      </c>
      <c r="F26" s="29"/>
    </row>
    <row r="27" spans="1:6" ht="12.75" customHeight="1">
      <c r="A27" s="129" t="s">
        <v>87</v>
      </c>
      <c r="B27" s="111" t="s">
        <v>133</v>
      </c>
      <c r="C27" s="713"/>
      <c r="D27" s="39">
        <v>0</v>
      </c>
      <c r="E27" s="44">
        <f>+'1.mell._Össz_Mérleg2014'!C27</f>
        <v>0</v>
      </c>
      <c r="F27" s="29"/>
    </row>
    <row r="28" spans="1:6" ht="12.75" customHeight="1">
      <c r="A28" s="129" t="s">
        <v>88</v>
      </c>
      <c r="B28" s="111" t="s">
        <v>134</v>
      </c>
      <c r="C28" s="713"/>
      <c r="D28" s="39">
        <v>0</v>
      </c>
      <c r="E28" s="44">
        <f>+'1.mell._Össz_Mérleg2014'!C28</f>
        <v>0</v>
      </c>
      <c r="F28" s="29"/>
    </row>
    <row r="29" spans="1:6" ht="12.75" customHeight="1">
      <c r="A29" s="129" t="s">
        <v>218</v>
      </c>
      <c r="B29" s="111" t="s">
        <v>135</v>
      </c>
      <c r="C29" s="713">
        <v>39539</v>
      </c>
      <c r="D29" s="39">
        <v>42693</v>
      </c>
      <c r="E29" s="44">
        <f>+'1.mell._Össz_Mérleg2014'!C29</f>
        <v>42600</v>
      </c>
      <c r="F29" s="29"/>
    </row>
    <row r="30" spans="1:7" ht="12.75" customHeight="1">
      <c r="A30" s="122" t="s">
        <v>219</v>
      </c>
      <c r="B30" s="112" t="s">
        <v>136</v>
      </c>
      <c r="C30" s="713">
        <v>259736</v>
      </c>
      <c r="D30" s="39">
        <v>243499</v>
      </c>
      <c r="E30" s="44">
        <f>+'1.mell._Össz_Mérleg2014'!C30</f>
        <v>241650</v>
      </c>
      <c r="F30" s="29"/>
      <c r="G30" s="714"/>
    </row>
    <row r="31" spans="1:7" ht="12.75" customHeight="1" thickBot="1">
      <c r="A31" s="122" t="s">
        <v>1089</v>
      </c>
      <c r="B31" s="112" t="s">
        <v>1091</v>
      </c>
      <c r="C31" s="712">
        <f>10801+390469</f>
        <v>401270</v>
      </c>
      <c r="D31" s="55">
        <v>6843</v>
      </c>
      <c r="E31" s="56">
        <f>+'1.mell._Össz_Mérleg2014'!C31</f>
        <v>11010</v>
      </c>
      <c r="F31" s="29"/>
      <c r="G31" s="714"/>
    </row>
    <row r="32" spans="1:7" s="29" customFormat="1" ht="12.75" customHeight="1" thickBot="1">
      <c r="A32" s="127" t="s">
        <v>3</v>
      </c>
      <c r="B32" s="108" t="s">
        <v>338</v>
      </c>
      <c r="C32" s="196">
        <f>+C33+C34+C35+C36+C37+C38+C39+C40+C41+C42</f>
        <v>150866</v>
      </c>
      <c r="D32" s="61">
        <f>+D33+D34+D35+D36+D37+D38+D39+D40+D41+D42</f>
        <v>125219</v>
      </c>
      <c r="E32" s="556">
        <f>+E33+E34+E35+E36+E37+E38+E39+E40+E41+E42</f>
        <v>94452</v>
      </c>
      <c r="G32" s="64"/>
    </row>
    <row r="33" spans="1:7" ht="12.75" customHeight="1">
      <c r="A33" s="128" t="s">
        <v>89</v>
      </c>
      <c r="B33" s="109" t="s">
        <v>137</v>
      </c>
      <c r="C33" s="546">
        <v>21087</v>
      </c>
      <c r="D33" s="38">
        <v>708</v>
      </c>
      <c r="E33" s="554">
        <f>+'1.mell._Össz_Mérleg2014'!C33</f>
        <v>0</v>
      </c>
      <c r="F33" s="714"/>
      <c r="G33" s="714"/>
    </row>
    <row r="34" spans="1:5" ht="12.75" customHeight="1">
      <c r="A34" s="129" t="s">
        <v>90</v>
      </c>
      <c r="B34" s="111" t="s">
        <v>138</v>
      </c>
      <c r="C34" s="544">
        <v>54449</v>
      </c>
      <c r="D34" s="39">
        <v>49588</v>
      </c>
      <c r="E34" s="552">
        <f>+'1.mell._Össz_Mérleg2014'!C34</f>
        <v>57351</v>
      </c>
    </row>
    <row r="35" spans="1:5" ht="12.75" customHeight="1">
      <c r="A35" s="129" t="s">
        <v>91</v>
      </c>
      <c r="B35" s="111" t="s">
        <v>139</v>
      </c>
      <c r="C35" s="544">
        <v>13334</v>
      </c>
      <c r="D35" s="39">
        <v>8440</v>
      </c>
      <c r="E35" s="552">
        <f>+'1.mell._Össz_Mérleg2014'!C35</f>
        <v>12695</v>
      </c>
    </row>
    <row r="36" spans="1:5" ht="12.75" customHeight="1">
      <c r="A36" s="129" t="s">
        <v>92</v>
      </c>
      <c r="B36" s="111" t="s">
        <v>140</v>
      </c>
      <c r="C36" s="544">
        <v>248</v>
      </c>
      <c r="D36" s="39">
        <v>0</v>
      </c>
      <c r="E36" s="552">
        <f>+'1.mell._Össz_Mérleg2014'!C36</f>
        <v>244</v>
      </c>
    </row>
    <row r="37" spans="1:5" ht="12.75" customHeight="1">
      <c r="A37" s="129" t="s">
        <v>93</v>
      </c>
      <c r="B37" s="111" t="s">
        <v>141</v>
      </c>
      <c r="C37" s="544">
        <v>17511</v>
      </c>
      <c r="D37" s="39">
        <v>13021</v>
      </c>
      <c r="E37" s="552">
        <f>+'1.mell._Össz_Mérleg2014'!C37</f>
        <v>0</v>
      </c>
    </row>
    <row r="38" spans="1:5" ht="12.75" customHeight="1">
      <c r="A38" s="129" t="s">
        <v>260</v>
      </c>
      <c r="B38" s="111" t="s">
        <v>142</v>
      </c>
      <c r="C38" s="544">
        <v>15683</v>
      </c>
      <c r="D38" s="39">
        <v>51779</v>
      </c>
      <c r="E38" s="552">
        <f>+'1.mell._Össz_Mérleg2014'!C38</f>
        <v>16115</v>
      </c>
    </row>
    <row r="39" spans="1:5" ht="12.75" customHeight="1">
      <c r="A39" s="129" t="s">
        <v>261</v>
      </c>
      <c r="B39" s="111" t="s">
        <v>143</v>
      </c>
      <c r="C39" s="544">
        <v>2493</v>
      </c>
      <c r="D39" s="39">
        <v>0</v>
      </c>
      <c r="E39" s="552">
        <f>+'1.mell._Össz_Mérleg2014'!C39</f>
        <v>7047</v>
      </c>
    </row>
    <row r="40" spans="1:5" ht="12.75" customHeight="1">
      <c r="A40" s="129" t="s">
        <v>262</v>
      </c>
      <c r="B40" s="111" t="s">
        <v>144</v>
      </c>
      <c r="C40" s="544">
        <f>1733+24328</f>
        <v>26061</v>
      </c>
      <c r="D40" s="39">
        <v>1683</v>
      </c>
      <c r="E40" s="552">
        <f>+'1.mell._Össz_Mérleg2014'!C40</f>
        <v>1000</v>
      </c>
    </row>
    <row r="41" spans="1:5" ht="12.75" customHeight="1">
      <c r="A41" s="129" t="s">
        <v>263</v>
      </c>
      <c r="B41" s="111" t="s">
        <v>145</v>
      </c>
      <c r="C41" s="544"/>
      <c r="D41" s="39">
        <v>0</v>
      </c>
      <c r="E41" s="552">
        <f>+'1.mell._Össz_Mérleg2014'!C41</f>
        <v>0</v>
      </c>
    </row>
    <row r="42" spans="1:5" ht="12.75" customHeight="1" thickBot="1">
      <c r="A42" s="122" t="s">
        <v>264</v>
      </c>
      <c r="B42" s="112" t="s">
        <v>146</v>
      </c>
      <c r="C42" s="545"/>
      <c r="D42" s="55">
        <v>0</v>
      </c>
      <c r="E42" s="553">
        <f>+'1.mell._Össz_Mérleg2014'!C42</f>
        <v>0</v>
      </c>
    </row>
    <row r="43" spans="1:5" s="29" customFormat="1" ht="12.75" thickBot="1">
      <c r="A43" s="127" t="s">
        <v>16</v>
      </c>
      <c r="B43" s="108" t="s">
        <v>339</v>
      </c>
      <c r="C43" s="196">
        <f>+C44+C45+C46</f>
        <v>14219</v>
      </c>
      <c r="D43" s="61">
        <f>+D44+D45+D46</f>
        <v>454</v>
      </c>
      <c r="E43" s="556">
        <f>+E44+E45+E46</f>
        <v>54162</v>
      </c>
    </row>
    <row r="44" spans="1:5" ht="12.75" customHeight="1">
      <c r="A44" s="128" t="s">
        <v>265</v>
      </c>
      <c r="B44" s="109" t="s">
        <v>147</v>
      </c>
      <c r="C44" s="546"/>
      <c r="D44" s="38">
        <v>0</v>
      </c>
      <c r="E44" s="554">
        <f>+'1.mell._Össz_Mérleg2014'!C44</f>
        <v>0</v>
      </c>
    </row>
    <row r="45" spans="1:5" ht="12.75" customHeight="1">
      <c r="A45" s="129" t="s">
        <v>266</v>
      </c>
      <c r="B45" s="111" t="s">
        <v>148</v>
      </c>
      <c r="C45" s="544"/>
      <c r="D45" s="39">
        <v>0</v>
      </c>
      <c r="E45" s="552">
        <f>+'1.mell._Össz_Mérleg2014'!C45</f>
        <v>54162</v>
      </c>
    </row>
    <row r="46" spans="1:5" ht="12.75" customHeight="1" thickBot="1">
      <c r="A46" s="122" t="s">
        <v>267</v>
      </c>
      <c r="B46" s="112" t="s">
        <v>149</v>
      </c>
      <c r="C46" s="545">
        <v>14219</v>
      </c>
      <c r="D46" s="55">
        <v>454</v>
      </c>
      <c r="E46" s="553">
        <f>+'1.mell._Össz_Mérleg2014'!C46</f>
        <v>0</v>
      </c>
    </row>
    <row r="47" spans="1:5" s="29" customFormat="1" ht="12.75" thickBot="1">
      <c r="A47" s="127" t="s">
        <v>15</v>
      </c>
      <c r="B47" s="113" t="s">
        <v>340</v>
      </c>
      <c r="C47" s="196">
        <f>+C48+C55+C61</f>
        <v>96622</v>
      </c>
      <c r="D47" s="61">
        <f>+D48+D55+D61</f>
        <v>191557</v>
      </c>
      <c r="E47" s="556">
        <f>+E48+E55+E61</f>
        <v>26356</v>
      </c>
    </row>
    <row r="48" spans="1:5" s="29" customFormat="1" ht="12.75" customHeight="1" thickBot="1">
      <c r="A48" s="127" t="s">
        <v>14</v>
      </c>
      <c r="B48" s="108" t="s">
        <v>341</v>
      </c>
      <c r="C48" s="196">
        <f>+C49+C50+C51+C52+C53</f>
        <v>90904</v>
      </c>
      <c r="D48" s="61">
        <f>+D49+D50+D51+D52+D53</f>
        <v>150509</v>
      </c>
      <c r="E48" s="556">
        <f>+E49+E50+E51+E52+E53</f>
        <v>23356</v>
      </c>
    </row>
    <row r="49" spans="1:5" ht="12">
      <c r="A49" s="128" t="s">
        <v>223</v>
      </c>
      <c r="B49" s="109" t="s">
        <v>150</v>
      </c>
      <c r="C49" s="546"/>
      <c r="D49" s="38">
        <v>92</v>
      </c>
      <c r="E49" s="554">
        <f>+'1.mell._Össz_Mérleg2014'!C49</f>
        <v>0</v>
      </c>
    </row>
    <row r="50" spans="1:5" ht="12">
      <c r="A50" s="129" t="s">
        <v>224</v>
      </c>
      <c r="B50" s="111" t="s">
        <v>151</v>
      </c>
      <c r="C50" s="544"/>
      <c r="D50" s="39">
        <v>0</v>
      </c>
      <c r="E50" s="552">
        <f>+'1.mell._Össz_Mérleg2014'!C50</f>
        <v>0</v>
      </c>
    </row>
    <row r="51" spans="1:5" ht="12">
      <c r="A51" s="129" t="s">
        <v>225</v>
      </c>
      <c r="B51" s="111" t="s">
        <v>152</v>
      </c>
      <c r="C51" s="544"/>
      <c r="D51" s="39">
        <v>0</v>
      </c>
      <c r="E51" s="552">
        <f>+'1.mell._Össz_Mérleg2014'!C51</f>
        <v>0</v>
      </c>
    </row>
    <row r="52" spans="1:5" ht="12">
      <c r="A52" s="129" t="s">
        <v>226</v>
      </c>
      <c r="B52" s="111" t="s">
        <v>153</v>
      </c>
      <c r="C52" s="544"/>
      <c r="D52" s="39">
        <v>0</v>
      </c>
      <c r="E52" s="552">
        <f>+'1.mell._Össz_Mérleg2014'!C52</f>
        <v>0</v>
      </c>
    </row>
    <row r="53" spans="1:5" ht="12">
      <c r="A53" s="122" t="s">
        <v>227</v>
      </c>
      <c r="B53" s="112" t="s">
        <v>154</v>
      </c>
      <c r="C53" s="545">
        <f>40084+50820</f>
        <v>90904</v>
      </c>
      <c r="D53" s="55">
        <v>150417</v>
      </c>
      <c r="E53" s="553">
        <f>+'1.mell._Össz_Mérleg2014'!C53</f>
        <v>23356</v>
      </c>
    </row>
    <row r="54" spans="1:5" s="41" customFormat="1" ht="12.75" thickBot="1">
      <c r="A54" s="133" t="s">
        <v>386</v>
      </c>
      <c r="B54" s="106" t="s">
        <v>394</v>
      </c>
      <c r="C54" s="543">
        <v>79909</v>
      </c>
      <c r="D54" s="81">
        <v>150417</v>
      </c>
      <c r="E54" s="551">
        <f>+'1.mell._Össz_Mérleg2014'!C54</f>
        <v>23356</v>
      </c>
    </row>
    <row r="55" spans="1:5" s="29" customFormat="1" ht="12.75" customHeight="1" thickBot="1">
      <c r="A55" s="127" t="s">
        <v>13</v>
      </c>
      <c r="B55" s="108" t="s">
        <v>342</v>
      </c>
      <c r="C55" s="196">
        <f>+C56+C57+C58+C59+C60</f>
        <v>2961</v>
      </c>
      <c r="D55" s="61">
        <f>+D56+D57+D58+D59+D60</f>
        <v>37557</v>
      </c>
      <c r="E55" s="556">
        <f>+E56+E57+E58+E59+E60</f>
        <v>300</v>
      </c>
    </row>
    <row r="56" spans="1:5" ht="12.75" customHeight="1">
      <c r="A56" s="128" t="s">
        <v>94</v>
      </c>
      <c r="B56" s="109" t="s">
        <v>155</v>
      </c>
      <c r="C56" s="546"/>
      <c r="D56" s="38">
        <v>3</v>
      </c>
      <c r="E56" s="554">
        <f>+'1.mell._Össz_Mérleg2014'!C56</f>
        <v>0</v>
      </c>
    </row>
    <row r="57" spans="1:5" ht="12.75" customHeight="1">
      <c r="A57" s="129" t="s">
        <v>95</v>
      </c>
      <c r="B57" s="111" t="s">
        <v>156</v>
      </c>
      <c r="C57" s="544">
        <v>402</v>
      </c>
      <c r="D57" s="39">
        <v>37544</v>
      </c>
      <c r="E57" s="552">
        <f>+'1.mell._Össz_Mérleg2014'!C57</f>
        <v>300</v>
      </c>
    </row>
    <row r="58" spans="1:5" ht="12.75" customHeight="1">
      <c r="A58" s="129" t="s">
        <v>96</v>
      </c>
      <c r="B58" s="111" t="s">
        <v>157</v>
      </c>
      <c r="C58" s="544">
        <v>2559</v>
      </c>
      <c r="D58" s="39">
        <v>10</v>
      </c>
      <c r="E58" s="552">
        <f>+'1.mell._Össz_Mérleg2014'!C58</f>
        <v>0</v>
      </c>
    </row>
    <row r="59" spans="1:5" ht="12.75" customHeight="1">
      <c r="A59" s="129" t="s">
        <v>268</v>
      </c>
      <c r="B59" s="111" t="s">
        <v>158</v>
      </c>
      <c r="C59" s="544"/>
      <c r="D59" s="39">
        <v>0</v>
      </c>
      <c r="E59" s="552">
        <f>+'1.mell._Össz_Mérleg2014'!C59</f>
        <v>0</v>
      </c>
    </row>
    <row r="60" spans="1:5" ht="12.75" customHeight="1" thickBot="1">
      <c r="A60" s="122" t="s">
        <v>269</v>
      </c>
      <c r="B60" s="112" t="s">
        <v>159</v>
      </c>
      <c r="C60" s="545"/>
      <c r="D60" s="55">
        <v>0</v>
      </c>
      <c r="E60" s="553">
        <f>+'1.mell._Össz_Mérleg2014'!C60</f>
        <v>0</v>
      </c>
    </row>
    <row r="61" spans="1:5" s="29" customFormat="1" ht="12.75" thickBot="1">
      <c r="A61" s="127" t="s">
        <v>12</v>
      </c>
      <c r="B61" s="108" t="s">
        <v>343</v>
      </c>
      <c r="C61" s="196">
        <f>+C62+C63+C64</f>
        <v>2757</v>
      </c>
      <c r="D61" s="61">
        <f>+D62+D63+D64</f>
        <v>3491</v>
      </c>
      <c r="E61" s="556">
        <f>+E62+E63+E64</f>
        <v>2700</v>
      </c>
    </row>
    <row r="62" spans="1:5" ht="12">
      <c r="A62" s="128" t="s">
        <v>97</v>
      </c>
      <c r="B62" s="109" t="s">
        <v>160</v>
      </c>
      <c r="C62" s="546"/>
      <c r="D62" s="38">
        <v>0</v>
      </c>
      <c r="E62" s="554">
        <f>+'1.mell._Össz_Mérleg2014'!C62</f>
        <v>0</v>
      </c>
    </row>
    <row r="63" spans="1:5" ht="12">
      <c r="A63" s="129" t="s">
        <v>98</v>
      </c>
      <c r="B63" s="111" t="s">
        <v>161</v>
      </c>
      <c r="C63" s="544"/>
      <c r="D63" s="39">
        <v>0</v>
      </c>
      <c r="E63" s="552">
        <f>+'1.mell._Össz_Mérleg2014'!C63</f>
        <v>0</v>
      </c>
    </row>
    <row r="64" spans="1:5" ht="12.75" thickBot="1">
      <c r="A64" s="122" t="s">
        <v>99</v>
      </c>
      <c r="B64" s="112" t="s">
        <v>162</v>
      </c>
      <c r="C64" s="545">
        <v>2757</v>
      </c>
      <c r="D64" s="55">
        <v>3491</v>
      </c>
      <c r="E64" s="553">
        <f>+'1.mell._Össz_Mérleg2014'!C64</f>
        <v>2700</v>
      </c>
    </row>
    <row r="65" spans="1:5" s="29" customFormat="1" ht="12.75" thickBot="1">
      <c r="A65" s="127" t="s">
        <v>11</v>
      </c>
      <c r="B65" s="113" t="s">
        <v>344</v>
      </c>
      <c r="C65" s="196">
        <f>+C10+C47</f>
        <v>2462817</v>
      </c>
      <c r="D65" s="61">
        <f>+D10+D47</f>
        <v>1687051</v>
      </c>
      <c r="E65" s="556">
        <f>+E10+E47</f>
        <v>1596867</v>
      </c>
    </row>
    <row r="66" spans="1:5" s="29" customFormat="1" ht="12.75" thickBot="1">
      <c r="A66" s="127" t="s">
        <v>10</v>
      </c>
      <c r="B66" s="114" t="s">
        <v>345</v>
      </c>
      <c r="C66" s="196">
        <f>+C67</f>
        <v>202519</v>
      </c>
      <c r="D66" s="61">
        <f>+D67</f>
        <v>2903893</v>
      </c>
      <c r="E66" s="556">
        <f>+E67</f>
        <v>90036</v>
      </c>
    </row>
    <row r="67" spans="1:5" s="29" customFormat="1" ht="12.75" thickBot="1">
      <c r="A67" s="127" t="s">
        <v>9</v>
      </c>
      <c r="B67" s="108" t="s">
        <v>346</v>
      </c>
      <c r="C67" s="196">
        <f>+C68+C77+C78</f>
        <v>202519</v>
      </c>
      <c r="D67" s="61">
        <f>+D68+D77+D78</f>
        <v>2903893</v>
      </c>
      <c r="E67" s="556">
        <f>+E68+E77+E78</f>
        <v>90036</v>
      </c>
    </row>
    <row r="68" spans="1:5" ht="12">
      <c r="A68" s="128" t="s">
        <v>101</v>
      </c>
      <c r="B68" s="109" t="s">
        <v>347</v>
      </c>
      <c r="C68" s="546">
        <f>+C69+C70+C71+C72+C73+C74+C75+C76</f>
        <v>202519</v>
      </c>
      <c r="D68" s="38">
        <f>+D69+D70+D71+D72+D73+D74+D75+D76</f>
        <v>2903893</v>
      </c>
      <c r="E68" s="554">
        <f>+E69+E70+E71+E72+E73+E74+E75+E76</f>
        <v>90036</v>
      </c>
    </row>
    <row r="69" spans="1:5" s="41" customFormat="1" ht="12">
      <c r="A69" s="130" t="s">
        <v>234</v>
      </c>
      <c r="B69" s="110" t="s">
        <v>284</v>
      </c>
      <c r="C69" s="542"/>
      <c r="D69" s="40">
        <v>2715086</v>
      </c>
      <c r="E69" s="550">
        <f>+'1.mell._Össz_Mérleg2014'!C69</f>
        <v>0</v>
      </c>
    </row>
    <row r="70" spans="1:5" s="41" customFormat="1" ht="12">
      <c r="A70" s="130" t="s">
        <v>235</v>
      </c>
      <c r="B70" s="110" t="s">
        <v>285</v>
      </c>
      <c r="C70" s="542"/>
      <c r="D70" s="40">
        <v>0</v>
      </c>
      <c r="E70" s="550">
        <f>+'1.mell._Össz_Mérleg2014'!C70</f>
        <v>0</v>
      </c>
    </row>
    <row r="71" spans="1:5" s="41" customFormat="1" ht="12">
      <c r="A71" s="130" t="s">
        <v>236</v>
      </c>
      <c r="B71" s="110" t="s">
        <v>286</v>
      </c>
      <c r="C71" s="542">
        <v>202519</v>
      </c>
      <c r="D71" s="40">
        <v>188807</v>
      </c>
      <c r="E71" s="550">
        <f>+'1.mell._Össz_Mérleg2014'!C71</f>
        <v>90036</v>
      </c>
    </row>
    <row r="72" spans="1:5" s="41" customFormat="1" ht="12">
      <c r="A72" s="130" t="s">
        <v>237</v>
      </c>
      <c r="B72" s="110" t="s">
        <v>287</v>
      </c>
      <c r="C72" s="542"/>
      <c r="D72" s="40">
        <v>0</v>
      </c>
      <c r="E72" s="550">
        <f>+'1.mell._Össz_Mérleg2014'!C72</f>
        <v>0</v>
      </c>
    </row>
    <row r="73" spans="1:5" s="41" customFormat="1" ht="12">
      <c r="A73" s="130" t="s">
        <v>238</v>
      </c>
      <c r="B73" s="110" t="s">
        <v>288</v>
      </c>
      <c r="C73" s="542"/>
      <c r="D73" s="40">
        <v>0</v>
      </c>
      <c r="E73" s="550">
        <f>+'1.mell._Össz_Mérleg2014'!C73</f>
        <v>0</v>
      </c>
    </row>
    <row r="74" spans="1:5" s="41" customFormat="1" ht="12">
      <c r="A74" s="151" t="s">
        <v>239</v>
      </c>
      <c r="B74" s="152" t="s">
        <v>289</v>
      </c>
      <c r="C74" s="541"/>
      <c r="D74" s="155"/>
      <c r="E74" s="549">
        <f>+'1.mell._Össz_Mérleg2014'!C74</f>
        <v>0</v>
      </c>
    </row>
    <row r="75" spans="1:5" s="41" customFormat="1" ht="12">
      <c r="A75" s="130" t="s">
        <v>242</v>
      </c>
      <c r="B75" s="110" t="s">
        <v>290</v>
      </c>
      <c r="C75" s="542"/>
      <c r="D75" s="40">
        <v>0</v>
      </c>
      <c r="E75" s="550">
        <f>+'1.mell._Össz_Mérleg2014'!C75</f>
        <v>0</v>
      </c>
    </row>
    <row r="76" spans="1:5" s="41" customFormat="1" ht="12">
      <c r="A76" s="130" t="s">
        <v>240</v>
      </c>
      <c r="B76" s="110" t="s">
        <v>283</v>
      </c>
      <c r="C76" s="542"/>
      <c r="D76" s="40">
        <v>0</v>
      </c>
      <c r="E76" s="550">
        <f>+'1.mell._Össz_Mérleg2014'!C76</f>
        <v>0</v>
      </c>
    </row>
    <row r="77" spans="1:5" ht="12">
      <c r="A77" s="129" t="s">
        <v>102</v>
      </c>
      <c r="B77" s="111" t="s">
        <v>281</v>
      </c>
      <c r="C77" s="544"/>
      <c r="D77" s="39">
        <v>0</v>
      </c>
      <c r="E77" s="552">
        <f>+'1.mell._Össz_Mérleg2014'!C77</f>
        <v>0</v>
      </c>
    </row>
    <row r="78" spans="1:5" ht="12.75" thickBot="1">
      <c r="A78" s="122" t="s">
        <v>241</v>
      </c>
      <c r="B78" s="112" t="s">
        <v>282</v>
      </c>
      <c r="C78" s="545"/>
      <c r="D78" s="55">
        <v>0</v>
      </c>
      <c r="E78" s="553">
        <f>+'1.mell._Össz_Mérleg2014'!C78</f>
        <v>0</v>
      </c>
    </row>
    <row r="79" spans="1:5" s="29" customFormat="1" ht="12.75" thickBot="1">
      <c r="A79" s="127" t="s">
        <v>73</v>
      </c>
      <c r="B79" s="114" t="s">
        <v>348</v>
      </c>
      <c r="C79" s="196">
        <f>+C80</f>
        <v>547424</v>
      </c>
      <c r="D79" s="61">
        <f>+D80</f>
        <v>0</v>
      </c>
      <c r="E79" s="556">
        <f>+E80</f>
        <v>0</v>
      </c>
    </row>
    <row r="80" spans="1:5" s="29" customFormat="1" ht="12.75" thickBot="1">
      <c r="A80" s="127" t="s">
        <v>72</v>
      </c>
      <c r="B80" s="108" t="s">
        <v>349</v>
      </c>
      <c r="C80" s="196">
        <f>+C81+C90+C91</f>
        <v>547424</v>
      </c>
      <c r="D80" s="61">
        <f>+D81+D90+D91</f>
        <v>0</v>
      </c>
      <c r="E80" s="556">
        <f>+E81+E90+E91</f>
        <v>0</v>
      </c>
    </row>
    <row r="81" spans="1:5" ht="12">
      <c r="A81" s="128" t="s">
        <v>270</v>
      </c>
      <c r="B81" s="109" t="s">
        <v>350</v>
      </c>
      <c r="C81" s="546">
        <f>+C82+C83+C84+C85+C86+C87+C88+C89</f>
        <v>547424</v>
      </c>
      <c r="D81" s="38">
        <f>+D82+D83+D84+D85+D86+D87+D88+D89</f>
        <v>0</v>
      </c>
      <c r="E81" s="554">
        <f>+E82+E83+E84+E85+E86+E87+E88+E89</f>
        <v>0</v>
      </c>
    </row>
    <row r="82" spans="1:5" s="41" customFormat="1" ht="12">
      <c r="A82" s="130" t="s">
        <v>271</v>
      </c>
      <c r="B82" s="110" t="s">
        <v>284</v>
      </c>
      <c r="C82" s="542"/>
      <c r="D82" s="40"/>
      <c r="E82" s="550">
        <f>+'1.mell._Össz_Mérleg2014'!C82</f>
        <v>0</v>
      </c>
    </row>
    <row r="83" spans="1:5" s="41" customFormat="1" ht="12">
      <c r="A83" s="130" t="s">
        <v>272</v>
      </c>
      <c r="B83" s="110" t="s">
        <v>285</v>
      </c>
      <c r="C83" s="542">
        <v>529504</v>
      </c>
      <c r="D83" s="40"/>
      <c r="E83" s="550">
        <f>+'1.mell._Össz_Mérleg2014'!C83</f>
        <v>0</v>
      </c>
    </row>
    <row r="84" spans="1:5" s="41" customFormat="1" ht="12">
      <c r="A84" s="130" t="s">
        <v>273</v>
      </c>
      <c r="B84" s="110" t="s">
        <v>286</v>
      </c>
      <c r="C84" s="542">
        <v>17920</v>
      </c>
      <c r="D84" s="40"/>
      <c r="E84" s="550">
        <f>+'1.mell._Össz_Mérleg2014'!C84</f>
        <v>0</v>
      </c>
    </row>
    <row r="85" spans="1:5" s="41" customFormat="1" ht="12">
      <c r="A85" s="130" t="s">
        <v>274</v>
      </c>
      <c r="B85" s="110" t="s">
        <v>287</v>
      </c>
      <c r="C85" s="542"/>
      <c r="D85" s="40"/>
      <c r="E85" s="550">
        <f>+'1.mell._Össz_Mérleg2014'!C85</f>
        <v>0</v>
      </c>
    </row>
    <row r="86" spans="1:5" s="41" customFormat="1" ht="12">
      <c r="A86" s="130" t="s">
        <v>275</v>
      </c>
      <c r="B86" s="110" t="s">
        <v>288</v>
      </c>
      <c r="C86" s="542"/>
      <c r="D86" s="40"/>
      <c r="E86" s="550">
        <f>+'1.mell._Össz_Mérleg2014'!C86</f>
        <v>0</v>
      </c>
    </row>
    <row r="87" spans="1:5" s="41" customFormat="1" ht="12">
      <c r="A87" s="151" t="s">
        <v>276</v>
      </c>
      <c r="B87" s="152" t="s">
        <v>289</v>
      </c>
      <c r="C87" s="541"/>
      <c r="D87" s="155"/>
      <c r="E87" s="549">
        <f>+'1.mell._Össz_Mérleg2014'!C87</f>
        <v>0</v>
      </c>
    </row>
    <row r="88" spans="1:5" s="41" customFormat="1" ht="12">
      <c r="A88" s="130" t="s">
        <v>277</v>
      </c>
      <c r="B88" s="110" t="s">
        <v>290</v>
      </c>
      <c r="C88" s="542"/>
      <c r="D88" s="40"/>
      <c r="E88" s="550">
        <f>+'1.mell._Össz_Mérleg2014'!C88</f>
        <v>0</v>
      </c>
    </row>
    <row r="89" spans="1:5" s="41" customFormat="1" ht="12">
      <c r="A89" s="130" t="s">
        <v>278</v>
      </c>
      <c r="B89" s="110" t="s">
        <v>283</v>
      </c>
      <c r="C89" s="542"/>
      <c r="D89" s="40"/>
      <c r="E89" s="550">
        <f>+'1.mell._Össz_Mérleg2014'!C89</f>
        <v>0</v>
      </c>
    </row>
    <row r="90" spans="1:5" ht="12">
      <c r="A90" s="129" t="s">
        <v>279</v>
      </c>
      <c r="B90" s="111" t="s">
        <v>281</v>
      </c>
      <c r="C90" s="544"/>
      <c r="D90" s="39"/>
      <c r="E90" s="552">
        <f>+'1.mell._Össz_Mérleg2014'!C90</f>
        <v>0</v>
      </c>
    </row>
    <row r="91" spans="1:5" ht="12.75" thickBot="1">
      <c r="A91" s="122" t="s">
        <v>280</v>
      </c>
      <c r="B91" s="112" t="s">
        <v>282</v>
      </c>
      <c r="C91" s="545"/>
      <c r="D91" s="55"/>
      <c r="E91" s="553">
        <f>+'1.mell._Össz_Mérleg2014'!C91</f>
        <v>0</v>
      </c>
    </row>
    <row r="92" spans="1:5" s="29" customFormat="1" ht="12.75" thickBot="1">
      <c r="A92" s="127" t="s">
        <v>71</v>
      </c>
      <c r="B92" s="113" t="s">
        <v>351</v>
      </c>
      <c r="C92" s="196">
        <f>+C66+C79</f>
        <v>749943</v>
      </c>
      <c r="D92" s="61">
        <f>+D66+D79</f>
        <v>2903893</v>
      </c>
      <c r="E92" s="556">
        <f>+E66+E79</f>
        <v>90036</v>
      </c>
    </row>
    <row r="93" spans="1:5" s="29" customFormat="1" ht="12.75" thickBot="1">
      <c r="A93" s="131" t="s">
        <v>68</v>
      </c>
      <c r="B93" s="115" t="s">
        <v>352</v>
      </c>
      <c r="C93" s="540">
        <f>+C65+C92</f>
        <v>3212760</v>
      </c>
      <c r="D93" s="58">
        <f>+D65+D92</f>
        <v>4590944</v>
      </c>
      <c r="E93" s="548">
        <f>+E65+E92</f>
        <v>1686903</v>
      </c>
    </row>
    <row r="94" spans="1:5" s="41" customFormat="1" ht="12">
      <c r="A94" s="1191"/>
      <c r="B94" s="1192" t="s">
        <v>1325</v>
      </c>
      <c r="C94" s="1192">
        <v>2313</v>
      </c>
      <c r="D94" s="1192">
        <v>5853</v>
      </c>
      <c r="E94" s="1192"/>
    </row>
    <row r="95" spans="1:5" s="73" customFormat="1" ht="12">
      <c r="A95" s="1189"/>
      <c r="B95" s="1190"/>
      <c r="C95" s="1190">
        <f>+C93+C94</f>
        <v>3215073</v>
      </c>
      <c r="D95" s="1190">
        <f>+D93+D94</f>
        <v>4596797</v>
      </c>
      <c r="E95" s="1190">
        <f>+E93+E94</f>
        <v>1686903</v>
      </c>
    </row>
    <row r="96" spans="1:5" s="92" customFormat="1" ht="15.75">
      <c r="A96" s="1298" t="s">
        <v>108</v>
      </c>
      <c r="B96" s="1298"/>
      <c r="C96" s="1298"/>
      <c r="D96" s="1298"/>
      <c r="E96" s="1298"/>
    </row>
    <row r="97" spans="1:5" s="73" customFormat="1" ht="12.75" thickBot="1">
      <c r="A97" s="75" t="s">
        <v>317</v>
      </c>
      <c r="E97" s="74" t="s">
        <v>319</v>
      </c>
    </row>
    <row r="98" spans="1:5" s="29" customFormat="1" ht="36.75" thickBot="1">
      <c r="A98" s="123" t="s">
        <v>17</v>
      </c>
      <c r="B98" s="124" t="s">
        <v>379</v>
      </c>
      <c r="C98" s="557" t="s">
        <v>668</v>
      </c>
      <c r="D98" s="33" t="s">
        <v>669</v>
      </c>
      <c r="E98" s="31" t="s">
        <v>419</v>
      </c>
    </row>
    <row r="99" spans="1:5" s="29" customFormat="1" ht="12.75" thickBot="1">
      <c r="A99" s="125" t="s">
        <v>291</v>
      </c>
      <c r="B99" s="126" t="s">
        <v>292</v>
      </c>
      <c r="C99" s="564" t="s">
        <v>293</v>
      </c>
      <c r="D99" s="36" t="s">
        <v>421</v>
      </c>
      <c r="E99" s="940" t="s">
        <v>422</v>
      </c>
    </row>
    <row r="100" spans="1:5" s="29" customFormat="1" ht="12.75" thickBot="1">
      <c r="A100" s="127" t="s">
        <v>4</v>
      </c>
      <c r="B100" s="113" t="s">
        <v>353</v>
      </c>
      <c r="C100" s="196">
        <f>+C101+C105+C107+C114+C123</f>
        <v>2712055</v>
      </c>
      <c r="D100" s="61">
        <f>+D101+D105+D107+D114+D123</f>
        <v>1443474</v>
      </c>
      <c r="E100" s="556">
        <f>+E101+E105+E107+E114+E123</f>
        <v>1575124</v>
      </c>
    </row>
    <row r="101" spans="1:5" s="29" customFormat="1" ht="12.75" thickBot="1">
      <c r="A101" s="127" t="s">
        <v>5</v>
      </c>
      <c r="B101" s="108" t="s">
        <v>354</v>
      </c>
      <c r="C101" s="196">
        <f>+C103+C104</f>
        <v>891779</v>
      </c>
      <c r="D101" s="61">
        <f>+D103+D104</f>
        <v>395363</v>
      </c>
      <c r="E101" s="556">
        <f>+E103+E104</f>
        <v>523384</v>
      </c>
    </row>
    <row r="102" spans="1:5" s="73" customFormat="1" ht="12">
      <c r="A102" s="140" t="s">
        <v>406</v>
      </c>
      <c r="B102" s="141" t="s">
        <v>407</v>
      </c>
      <c r="C102" s="547">
        <v>42408</v>
      </c>
      <c r="D102" s="144">
        <v>5620</v>
      </c>
      <c r="E102" s="555">
        <f>+'1.mell._Össz_Mérleg2014'!C102</f>
        <v>0</v>
      </c>
    </row>
    <row r="103" spans="1:5" ht="12">
      <c r="A103" s="128" t="s">
        <v>82</v>
      </c>
      <c r="B103" s="109" t="s">
        <v>163</v>
      </c>
      <c r="C103" s="546">
        <v>817273</v>
      </c>
      <c r="D103" s="38">
        <v>378050</v>
      </c>
      <c r="E103" s="554">
        <f>+'1.mell._Össz_Mérleg2014'!C103</f>
        <v>499125</v>
      </c>
    </row>
    <row r="104" spans="1:5" ht="12.75" thickBot="1">
      <c r="A104" s="122" t="s">
        <v>83</v>
      </c>
      <c r="B104" s="112" t="s">
        <v>164</v>
      </c>
      <c r="C104" s="545">
        <f>73892+614</f>
        <v>74506</v>
      </c>
      <c r="D104" s="55">
        <v>17313</v>
      </c>
      <c r="E104" s="553">
        <f>+'1.mell._Össz_Mérleg2014'!C104</f>
        <v>24259</v>
      </c>
    </row>
    <row r="105" spans="1:5" s="29" customFormat="1" ht="12.75" thickBot="1">
      <c r="A105" s="127" t="s">
        <v>6</v>
      </c>
      <c r="B105" s="108" t="s">
        <v>294</v>
      </c>
      <c r="C105" s="196">
        <v>222286</v>
      </c>
      <c r="D105" s="61">
        <v>88681</v>
      </c>
      <c r="E105" s="556">
        <f>+'1.mell._Össz_Mérleg2014'!C105</f>
        <v>110637</v>
      </c>
    </row>
    <row r="106" spans="1:5" s="73" customFormat="1" ht="12.75" thickBot="1">
      <c r="A106" s="140" t="s">
        <v>403</v>
      </c>
      <c r="B106" s="141" t="s">
        <v>404</v>
      </c>
      <c r="C106" s="547">
        <v>9791</v>
      </c>
      <c r="D106" s="144">
        <v>1468</v>
      </c>
      <c r="E106" s="555">
        <f>+'1.mell._Össz_Mérleg2014'!C106</f>
        <v>0</v>
      </c>
    </row>
    <row r="107" spans="1:5" s="29" customFormat="1" ht="12.75" thickBot="1">
      <c r="A107" s="127" t="s">
        <v>3</v>
      </c>
      <c r="B107" s="108" t="s">
        <v>400</v>
      </c>
      <c r="C107" s="196">
        <f>+C109+C110+C111+C112+C113</f>
        <v>615713</v>
      </c>
      <c r="D107" s="61">
        <f>+D109+D110+D111+D112+D113</f>
        <v>597787</v>
      </c>
      <c r="E107" s="556">
        <f>+E109+E110+E111+E112+E113</f>
        <v>581830</v>
      </c>
    </row>
    <row r="108" spans="1:5" s="73" customFormat="1" ht="12">
      <c r="A108" s="140" t="s">
        <v>398</v>
      </c>
      <c r="B108" s="141" t="s">
        <v>405</v>
      </c>
      <c r="C108" s="547">
        <v>30887</v>
      </c>
      <c r="D108" s="144">
        <v>6384</v>
      </c>
      <c r="E108" s="555">
        <f>+'1.mell._Össz_Mérleg2014'!C108</f>
        <v>0</v>
      </c>
    </row>
    <row r="109" spans="1:5" ht="12">
      <c r="A109" s="128" t="s">
        <v>89</v>
      </c>
      <c r="B109" s="109" t="s">
        <v>165</v>
      </c>
      <c r="C109" s="546">
        <v>49611</v>
      </c>
      <c r="D109" s="38">
        <v>28779</v>
      </c>
      <c r="E109" s="554">
        <f>+'1.mell._Össz_Mérleg2014'!C109</f>
        <v>25932</v>
      </c>
    </row>
    <row r="110" spans="1:5" ht="12">
      <c r="A110" s="129" t="s">
        <v>90</v>
      </c>
      <c r="B110" s="111" t="s">
        <v>166</v>
      </c>
      <c r="C110" s="544">
        <v>10470</v>
      </c>
      <c r="D110" s="39">
        <v>8575</v>
      </c>
      <c r="E110" s="552">
        <f>+'1.mell._Össz_Mérleg2014'!C110</f>
        <v>21413</v>
      </c>
    </row>
    <row r="111" spans="1:5" ht="12">
      <c r="A111" s="129" t="s">
        <v>91</v>
      </c>
      <c r="B111" s="111" t="s">
        <v>167</v>
      </c>
      <c r="C111" s="544">
        <f>295016+5064</f>
        <v>300080</v>
      </c>
      <c r="D111" s="39">
        <v>377806</v>
      </c>
      <c r="E111" s="552">
        <f>+'1.mell._Össz_Mérleg2014'!C111</f>
        <v>338016</v>
      </c>
    </row>
    <row r="112" spans="1:5" ht="12">
      <c r="A112" s="129" t="s">
        <v>92</v>
      </c>
      <c r="B112" s="111" t="s">
        <v>168</v>
      </c>
      <c r="C112" s="544">
        <f>1003-614</f>
        <v>389</v>
      </c>
      <c r="D112" s="39">
        <v>309</v>
      </c>
      <c r="E112" s="552">
        <f>+'1.mell._Össz_Mérleg2014'!C112</f>
        <v>3328</v>
      </c>
    </row>
    <row r="113" spans="1:5" ht="12.75" thickBot="1">
      <c r="A113" s="122" t="s">
        <v>93</v>
      </c>
      <c r="B113" s="112" t="s">
        <v>169</v>
      </c>
      <c r="C113" s="545">
        <v>255163</v>
      </c>
      <c r="D113" s="55">
        <v>182318</v>
      </c>
      <c r="E113" s="553">
        <f>+'1.mell._Össz_Mérleg2014'!C113</f>
        <v>193141</v>
      </c>
    </row>
    <row r="114" spans="1:5" s="29" customFormat="1" ht="12.75" thickBot="1">
      <c r="A114" s="127" t="s">
        <v>16</v>
      </c>
      <c r="B114" s="108" t="s">
        <v>355</v>
      </c>
      <c r="C114" s="196">
        <f>+C115+C116+C117+C118+C119+C120+C121+C122</f>
        <v>342040</v>
      </c>
      <c r="D114" s="61">
        <f>+D115+D116+D117+D118+D119+D120+D121+D122</f>
        <v>275034</v>
      </c>
      <c r="E114" s="556">
        <f>+E115+E116+E117+E118+E119+E120+E121+E122</f>
        <v>266825</v>
      </c>
    </row>
    <row r="115" spans="1:5" ht="12">
      <c r="A115" s="128" t="s">
        <v>265</v>
      </c>
      <c r="B115" s="109" t="s">
        <v>170</v>
      </c>
      <c r="C115" s="546"/>
      <c r="D115" s="38">
        <v>0</v>
      </c>
      <c r="E115" s="554">
        <f>+'1.mell._Össz_Mérleg2014'!C115</f>
        <v>0</v>
      </c>
    </row>
    <row r="116" spans="1:5" ht="12">
      <c r="A116" s="129" t="s">
        <v>266</v>
      </c>
      <c r="B116" s="111" t="s">
        <v>171</v>
      </c>
      <c r="C116" s="544">
        <f>10614+8137</f>
        <v>18751</v>
      </c>
      <c r="D116" s="39">
        <v>15532</v>
      </c>
      <c r="E116" s="552">
        <f>+'1.mell._Össz_Mérleg2014'!C116</f>
        <v>2225</v>
      </c>
    </row>
    <row r="117" spans="1:5" ht="12">
      <c r="A117" s="129" t="s">
        <v>267</v>
      </c>
      <c r="B117" s="111" t="s">
        <v>172</v>
      </c>
      <c r="C117" s="544"/>
      <c r="D117" s="39">
        <v>0</v>
      </c>
      <c r="E117" s="552">
        <f>+'1.mell._Össz_Mérleg2014'!C117</f>
        <v>0</v>
      </c>
    </row>
    <row r="118" spans="1:5" ht="12">
      <c r="A118" s="129" t="s">
        <v>295</v>
      </c>
      <c r="B118" s="111" t="s">
        <v>173</v>
      </c>
      <c r="C118" s="544">
        <f>13201+5236</f>
        <v>18437</v>
      </c>
      <c r="D118" s="39">
        <v>5389</v>
      </c>
      <c r="E118" s="552">
        <f>+'1.mell._Össz_Mérleg2014'!C118</f>
        <v>3600</v>
      </c>
    </row>
    <row r="119" spans="1:5" ht="12">
      <c r="A119" s="129" t="s">
        <v>296</v>
      </c>
      <c r="B119" s="111" t="s">
        <v>174</v>
      </c>
      <c r="C119" s="544">
        <v>218610</v>
      </c>
      <c r="D119" s="39">
        <v>183050</v>
      </c>
      <c r="E119" s="552">
        <f>+'1.mell._Össz_Mérleg2014'!C119</f>
        <v>180000</v>
      </c>
    </row>
    <row r="120" spans="1:5" ht="12">
      <c r="A120" s="129" t="s">
        <v>297</v>
      </c>
      <c r="B120" s="111" t="s">
        <v>175</v>
      </c>
      <c r="C120" s="544">
        <f>31415+158</f>
        <v>31573</v>
      </c>
      <c r="D120" s="39">
        <v>38038</v>
      </c>
      <c r="E120" s="552">
        <f>+'1.mell._Össz_Mérleg2014'!C120</f>
        <v>43000</v>
      </c>
    </row>
    <row r="121" spans="1:5" ht="12">
      <c r="A121" s="129" t="s">
        <v>298</v>
      </c>
      <c r="B121" s="111" t="s">
        <v>176</v>
      </c>
      <c r="C121" s="544">
        <v>13852</v>
      </c>
      <c r="D121" s="39">
        <v>518</v>
      </c>
      <c r="E121" s="552">
        <f>+'1.mell._Össz_Mérleg2014'!C121</f>
        <v>0</v>
      </c>
    </row>
    <row r="122" spans="1:5" ht="12.75" thickBot="1">
      <c r="A122" s="122" t="s">
        <v>299</v>
      </c>
      <c r="B122" s="112" t="s">
        <v>177</v>
      </c>
      <c r="C122" s="545">
        <f>32647+1119+2076+872+876+3227</f>
        <v>40817</v>
      </c>
      <c r="D122" s="55">
        <v>32507</v>
      </c>
      <c r="E122" s="553">
        <f>+'1.mell._Össz_Mérleg2014'!C122</f>
        <v>38000</v>
      </c>
    </row>
    <row r="123" spans="1:5" s="29" customFormat="1" ht="12.75" thickBot="1">
      <c r="A123" s="127" t="s">
        <v>15</v>
      </c>
      <c r="B123" s="108" t="s">
        <v>356</v>
      </c>
      <c r="C123" s="196">
        <f>+C124+C125+C126+C127+C128+C129+C131+C132+C133+C134+C135+C136</f>
        <v>640237</v>
      </c>
      <c r="D123" s="61">
        <f>+D124+D125+D126+D127+D128+D129+D131+D132+D133+D134+D135+D136</f>
        <v>86609</v>
      </c>
      <c r="E123" s="556">
        <f>+E124+E125+E126+E127+E128+E129+E131+E132+E133+E134+E135+E136</f>
        <v>92448</v>
      </c>
    </row>
    <row r="124" spans="1:5" ht="12">
      <c r="A124" s="128" t="s">
        <v>115</v>
      </c>
      <c r="B124" s="109" t="s">
        <v>178</v>
      </c>
      <c r="C124" s="546"/>
      <c r="D124" s="38">
        <v>0</v>
      </c>
      <c r="E124" s="554">
        <f>+'1.mell._Össz_Mérleg2014'!C124</f>
        <v>0</v>
      </c>
    </row>
    <row r="125" spans="1:5" ht="12">
      <c r="A125" s="129" t="s">
        <v>116</v>
      </c>
      <c r="B125" s="111" t="s">
        <v>179</v>
      </c>
      <c r="C125" s="544"/>
      <c r="D125" s="39">
        <v>0</v>
      </c>
      <c r="E125" s="552">
        <f>+'1.mell._Össz_Mérleg2014'!C125</f>
        <v>0</v>
      </c>
    </row>
    <row r="126" spans="1:5" ht="12">
      <c r="A126" s="129" t="s">
        <v>220</v>
      </c>
      <c r="B126" s="111" t="s">
        <v>180</v>
      </c>
      <c r="C126" s="544"/>
      <c r="D126" s="39">
        <v>0</v>
      </c>
      <c r="E126" s="552">
        <f>+'1.mell._Össz_Mérleg2014'!C126</f>
        <v>0</v>
      </c>
    </row>
    <row r="127" spans="1:5" ht="12">
      <c r="A127" s="129" t="s">
        <v>221</v>
      </c>
      <c r="B127" s="111" t="s">
        <v>181</v>
      </c>
      <c r="C127" s="544"/>
      <c r="D127" s="39">
        <v>0</v>
      </c>
      <c r="E127" s="552">
        <f>+'1.mell._Össz_Mérleg2014'!C127</f>
        <v>0</v>
      </c>
    </row>
    <row r="128" spans="1:5" ht="12">
      <c r="A128" s="129" t="s">
        <v>222</v>
      </c>
      <c r="B128" s="111" t="s">
        <v>182</v>
      </c>
      <c r="C128" s="544"/>
      <c r="D128" s="39">
        <v>0</v>
      </c>
      <c r="E128" s="552">
        <f>+'1.mell._Össz_Mérleg2014'!C128</f>
        <v>0</v>
      </c>
    </row>
    <row r="129" spans="1:5" ht="12">
      <c r="A129" s="129" t="s">
        <v>300</v>
      </c>
      <c r="B129" s="111" t="s">
        <v>183</v>
      </c>
      <c r="C129" s="544">
        <f>5073+179885</f>
        <v>184958</v>
      </c>
      <c r="D129" s="39">
        <v>52592</v>
      </c>
      <c r="E129" s="552">
        <f>+'1.mell._Össz_Mérleg2014'!C129</f>
        <v>11926</v>
      </c>
    </row>
    <row r="130" spans="1:5" s="41" customFormat="1" ht="12">
      <c r="A130" s="133" t="s">
        <v>392</v>
      </c>
      <c r="B130" s="106" t="s">
        <v>393</v>
      </c>
      <c r="C130" s="543"/>
      <c r="D130" s="81">
        <v>31289</v>
      </c>
      <c r="E130" s="551">
        <f>+'1.mell._Össz_Mérleg2014'!C130</f>
        <v>0</v>
      </c>
    </row>
    <row r="131" spans="1:5" ht="12">
      <c r="A131" s="129" t="s">
        <v>301</v>
      </c>
      <c r="B131" s="111" t="s">
        <v>184</v>
      </c>
      <c r="C131" s="544">
        <v>450826</v>
      </c>
      <c r="D131" s="39">
        <v>23547</v>
      </c>
      <c r="E131" s="552">
        <f>+'1.mell._Össz_Mérleg2014'!C131</f>
        <v>0</v>
      </c>
    </row>
    <row r="132" spans="1:5" ht="12">
      <c r="A132" s="129" t="s">
        <v>302</v>
      </c>
      <c r="B132" s="111" t="s">
        <v>185</v>
      </c>
      <c r="C132" s="544"/>
      <c r="D132" s="39">
        <v>10275</v>
      </c>
      <c r="E132" s="552">
        <f>+'1.mell._Össz_Mérleg2014'!C132</f>
        <v>30615</v>
      </c>
    </row>
    <row r="133" spans="1:5" ht="12">
      <c r="A133" s="129" t="s">
        <v>303</v>
      </c>
      <c r="B133" s="111" t="s">
        <v>186</v>
      </c>
      <c r="C133" s="544"/>
      <c r="D133" s="39">
        <v>0</v>
      </c>
      <c r="E133" s="552">
        <f>+'1.mell._Össz_Mérleg2014'!C133</f>
        <v>0</v>
      </c>
    </row>
    <row r="134" spans="1:5" ht="12">
      <c r="A134" s="129" t="s">
        <v>304</v>
      </c>
      <c r="B134" s="111" t="s">
        <v>187</v>
      </c>
      <c r="C134" s="544"/>
      <c r="D134" s="39">
        <v>0</v>
      </c>
      <c r="E134" s="552">
        <f>+'1.mell._Össz_Mérleg2014'!C134</f>
        <v>0</v>
      </c>
    </row>
    <row r="135" spans="1:5" ht="12">
      <c r="A135" s="129" t="s">
        <v>305</v>
      </c>
      <c r="B135" s="111" t="s">
        <v>188</v>
      </c>
      <c r="C135" s="544">
        <v>4453</v>
      </c>
      <c r="D135" s="39">
        <v>195</v>
      </c>
      <c r="E135" s="552">
        <f>+'1.mell._Össz_Mérleg2014'!C135</f>
        <v>6850</v>
      </c>
    </row>
    <row r="136" spans="1:5" ht="12">
      <c r="A136" s="122" t="s">
        <v>306</v>
      </c>
      <c r="B136" s="112" t="s">
        <v>390</v>
      </c>
      <c r="C136" s="545">
        <f>+C137+C138</f>
        <v>0</v>
      </c>
      <c r="D136" s="55">
        <v>0</v>
      </c>
      <c r="E136" s="553">
        <f>+E137+E138</f>
        <v>43057</v>
      </c>
    </row>
    <row r="137" spans="1:5" s="41" customFormat="1" ht="12">
      <c r="A137" s="133" t="s">
        <v>387</v>
      </c>
      <c r="B137" s="118" t="s">
        <v>389</v>
      </c>
      <c r="C137" s="543"/>
      <c r="D137" s="81">
        <v>0</v>
      </c>
      <c r="E137" s="551">
        <f>+'1.mell._Össz_Mérleg2014'!C137</f>
        <v>16000</v>
      </c>
    </row>
    <row r="138" spans="1:5" s="41" customFormat="1" ht="12.75" thickBot="1">
      <c r="A138" s="133" t="s">
        <v>388</v>
      </c>
      <c r="B138" s="118" t="s">
        <v>397</v>
      </c>
      <c r="C138" s="543"/>
      <c r="D138" s="81">
        <v>0</v>
      </c>
      <c r="E138" s="551">
        <f>+'1.mell._Össz_Mérleg2014'!C138</f>
        <v>27057</v>
      </c>
    </row>
    <row r="139" spans="1:5" s="29" customFormat="1" ht="12.75" thickBot="1">
      <c r="A139" s="127" t="s">
        <v>14</v>
      </c>
      <c r="B139" s="113" t="s">
        <v>357</v>
      </c>
      <c r="C139" s="196">
        <f>+C140+C149+C155</f>
        <v>140906</v>
      </c>
      <c r="D139" s="61">
        <f>+D140+D149+D155</f>
        <v>659275</v>
      </c>
      <c r="E139" s="556">
        <f>+E140+E149+E155</f>
        <v>111779</v>
      </c>
    </row>
    <row r="140" spans="1:5" s="29" customFormat="1" ht="12.75" thickBot="1">
      <c r="A140" s="127" t="s">
        <v>13</v>
      </c>
      <c r="B140" s="108" t="s">
        <v>358</v>
      </c>
      <c r="C140" s="196">
        <f>+C142+C143+C144+C145+C146+C147+C148</f>
        <v>52116</v>
      </c>
      <c r="D140" s="61">
        <f>+D142+D143+D144+D145+D146+D147+D148</f>
        <v>596138</v>
      </c>
      <c r="E140" s="556">
        <f>+E142+E143+E144+E145+E146+E147+E148</f>
        <v>96779</v>
      </c>
    </row>
    <row r="141" spans="1:5" s="73" customFormat="1" ht="12">
      <c r="A141" s="140" t="s">
        <v>398</v>
      </c>
      <c r="B141" s="141" t="s">
        <v>399</v>
      </c>
      <c r="C141" s="547">
        <v>44755</v>
      </c>
      <c r="D141" s="144">
        <v>4513</v>
      </c>
      <c r="E141" s="555">
        <f>+'1.mell._Össz_Mérleg2014'!C141</f>
        <v>64039</v>
      </c>
    </row>
    <row r="142" spans="1:5" ht="12">
      <c r="A142" s="128" t="s">
        <v>94</v>
      </c>
      <c r="B142" s="109" t="s">
        <v>189</v>
      </c>
      <c r="C142" s="546">
        <v>24615</v>
      </c>
      <c r="D142" s="38">
        <v>115</v>
      </c>
      <c r="E142" s="554">
        <f>+'1.mell._Össz_Mérleg2014'!C142</f>
        <v>0</v>
      </c>
    </row>
    <row r="143" spans="1:5" ht="12">
      <c r="A143" s="129" t="s">
        <v>95</v>
      </c>
      <c r="B143" s="111" t="s">
        <v>190</v>
      </c>
      <c r="C143" s="544"/>
      <c r="D143" s="39">
        <v>585145</v>
      </c>
      <c r="E143" s="552">
        <f>+'1.mell._Össz_Mérleg2014'!C143</f>
        <v>65039</v>
      </c>
    </row>
    <row r="144" spans="1:5" ht="12">
      <c r="A144" s="129" t="s">
        <v>96</v>
      </c>
      <c r="B144" s="111" t="s">
        <v>191</v>
      </c>
      <c r="C144" s="544"/>
      <c r="D144" s="39">
        <v>1694</v>
      </c>
      <c r="E144" s="552">
        <f>+'1.mell._Össz_Mérleg2014'!C144</f>
        <v>0</v>
      </c>
    </row>
    <row r="145" spans="1:5" ht="12">
      <c r="A145" s="129" t="s">
        <v>268</v>
      </c>
      <c r="B145" s="111" t="s">
        <v>192</v>
      </c>
      <c r="C145" s="544">
        <f>14860+1956</f>
        <v>16816</v>
      </c>
      <c r="D145" s="39">
        <v>819</v>
      </c>
      <c r="E145" s="552">
        <f>+'1.mell._Össz_Mérleg2014'!C145</f>
        <v>24779</v>
      </c>
    </row>
    <row r="146" spans="1:5" ht="12">
      <c r="A146" s="129" t="s">
        <v>269</v>
      </c>
      <c r="B146" s="111" t="s">
        <v>193</v>
      </c>
      <c r="C146" s="544"/>
      <c r="D146" s="39">
        <v>0</v>
      </c>
      <c r="E146" s="552">
        <f>+'1.mell._Össz_Mérleg2014'!C146</f>
        <v>0</v>
      </c>
    </row>
    <row r="147" spans="1:5" ht="12">
      <c r="A147" s="129" t="s">
        <v>307</v>
      </c>
      <c r="B147" s="111" t="s">
        <v>194</v>
      </c>
      <c r="C147" s="544"/>
      <c r="D147" s="39">
        <v>0</v>
      </c>
      <c r="E147" s="552">
        <f>+'1.mell._Össz_Mérleg2014'!C147</f>
        <v>0</v>
      </c>
    </row>
    <row r="148" spans="1:5" ht="12.75" thickBot="1">
      <c r="A148" s="122" t="s">
        <v>308</v>
      </c>
      <c r="B148" s="112" t="s">
        <v>195</v>
      </c>
      <c r="C148" s="545">
        <v>10685</v>
      </c>
      <c r="D148" s="55">
        <v>8365</v>
      </c>
      <c r="E148" s="553">
        <f>+'1.mell._Össz_Mérleg2014'!C148</f>
        <v>6961</v>
      </c>
    </row>
    <row r="149" spans="1:5" s="29" customFormat="1" ht="12.75" thickBot="1">
      <c r="A149" s="127" t="s">
        <v>12</v>
      </c>
      <c r="B149" s="108" t="s">
        <v>359</v>
      </c>
      <c r="C149" s="196">
        <f>+C151+C152+C153+C154</f>
        <v>81066</v>
      </c>
      <c r="D149" s="61">
        <f>+D151+D152+D153+D154</f>
        <v>63082</v>
      </c>
      <c r="E149" s="556">
        <f>+E151+E152+E153+E154</f>
        <v>15000</v>
      </c>
    </row>
    <row r="150" spans="1:5" s="73" customFormat="1" ht="12">
      <c r="A150" s="140" t="s">
        <v>401</v>
      </c>
      <c r="B150" s="141" t="s">
        <v>402</v>
      </c>
      <c r="C150" s="547">
        <v>79349</v>
      </c>
      <c r="D150" s="144">
        <v>62259</v>
      </c>
      <c r="E150" s="555">
        <f>+'1.mell._Össz_Mérleg2014'!C150</f>
        <v>0</v>
      </c>
    </row>
    <row r="151" spans="1:5" ht="12">
      <c r="A151" s="128" t="s">
        <v>97</v>
      </c>
      <c r="B151" s="109" t="s">
        <v>196</v>
      </c>
      <c r="C151" s="546">
        <v>74678</v>
      </c>
      <c r="D151" s="38">
        <v>28966</v>
      </c>
      <c r="E151" s="554">
        <f>+'1.mell._Össz_Mérleg2014'!C151</f>
        <v>11811</v>
      </c>
    </row>
    <row r="152" spans="1:5" ht="12">
      <c r="A152" s="129" t="s">
        <v>98</v>
      </c>
      <c r="B152" s="111" t="s">
        <v>197</v>
      </c>
      <c r="C152" s="544"/>
      <c r="D152" s="39">
        <v>0</v>
      </c>
      <c r="E152" s="552">
        <f>+'1.mell._Össz_Mérleg2014'!C152</f>
        <v>0</v>
      </c>
    </row>
    <row r="153" spans="1:5" ht="12">
      <c r="A153" s="129" t="s">
        <v>99</v>
      </c>
      <c r="B153" s="111" t="s">
        <v>198</v>
      </c>
      <c r="C153" s="544"/>
      <c r="D153" s="39">
        <v>0</v>
      </c>
      <c r="E153" s="552">
        <f>+'1.mell._Össz_Mérleg2014'!C153</f>
        <v>0</v>
      </c>
    </row>
    <row r="154" spans="1:5" ht="12.75" thickBot="1">
      <c r="A154" s="122" t="s">
        <v>100</v>
      </c>
      <c r="B154" s="112" t="s">
        <v>199</v>
      </c>
      <c r="C154" s="545">
        <v>6388</v>
      </c>
      <c r="D154" s="55">
        <v>34116</v>
      </c>
      <c r="E154" s="553">
        <f>+'1.mell._Össz_Mérleg2014'!C154</f>
        <v>3189</v>
      </c>
    </row>
    <row r="155" spans="1:5" s="29" customFormat="1" ht="12.75" thickBot="1">
      <c r="A155" s="127" t="s">
        <v>11</v>
      </c>
      <c r="B155" s="108" t="s">
        <v>360</v>
      </c>
      <c r="C155" s="196">
        <f>+C156+C157+C158+C159+C161+C162+C163+C164</f>
        <v>7724</v>
      </c>
      <c r="D155" s="61">
        <f>+D156+D157+D158+D159+D161+D162+D163+D164</f>
        <v>55</v>
      </c>
      <c r="E155" s="556">
        <f>+E156+E157+E158+E159+E161+E162+E163+E164</f>
        <v>0</v>
      </c>
    </row>
    <row r="156" spans="1:5" ht="12">
      <c r="A156" s="128" t="s">
        <v>309</v>
      </c>
      <c r="B156" s="109" t="s">
        <v>200</v>
      </c>
      <c r="C156" s="546"/>
      <c r="D156" s="38">
        <v>0</v>
      </c>
      <c r="E156" s="554">
        <f>+'1.mell._Össz_Mérleg2014'!C156</f>
        <v>0</v>
      </c>
    </row>
    <row r="157" spans="1:5" ht="12">
      <c r="A157" s="129" t="s">
        <v>310</v>
      </c>
      <c r="B157" s="111" t="s">
        <v>201</v>
      </c>
      <c r="C157" s="544"/>
      <c r="D157" s="39">
        <v>0</v>
      </c>
      <c r="E157" s="552">
        <f>+'1.mell._Össz_Mérleg2014'!C157</f>
        <v>0</v>
      </c>
    </row>
    <row r="158" spans="1:5" ht="12">
      <c r="A158" s="129" t="s">
        <v>311</v>
      </c>
      <c r="B158" s="111" t="s">
        <v>202</v>
      </c>
      <c r="C158" s="544"/>
      <c r="D158" s="39">
        <v>0</v>
      </c>
      <c r="E158" s="552">
        <f>+'1.mell._Össz_Mérleg2014'!C158</f>
        <v>0</v>
      </c>
    </row>
    <row r="159" spans="1:5" ht="12">
      <c r="A159" s="129" t="s">
        <v>312</v>
      </c>
      <c r="B159" s="111" t="s">
        <v>203</v>
      </c>
      <c r="C159" s="544"/>
      <c r="D159" s="39">
        <v>0</v>
      </c>
      <c r="E159" s="552">
        <f>+'1.mell._Össz_Mérleg2014'!C159</f>
        <v>0</v>
      </c>
    </row>
    <row r="160" spans="1:5" s="41" customFormat="1" ht="12">
      <c r="A160" s="133" t="s">
        <v>395</v>
      </c>
      <c r="B160" s="106" t="s">
        <v>396</v>
      </c>
      <c r="C160" s="543"/>
      <c r="D160" s="81">
        <v>0</v>
      </c>
      <c r="E160" s="551">
        <f>+'1.mell._Össz_Mérleg2014'!C160</f>
        <v>0</v>
      </c>
    </row>
    <row r="161" spans="1:5" ht="12">
      <c r="A161" s="129" t="s">
        <v>313</v>
      </c>
      <c r="B161" s="111" t="s">
        <v>204</v>
      </c>
      <c r="C161" s="544"/>
      <c r="D161" s="39">
        <v>0</v>
      </c>
      <c r="E161" s="552">
        <f>+'1.mell._Össz_Mérleg2014'!C161</f>
        <v>0</v>
      </c>
    </row>
    <row r="162" spans="1:5" ht="12">
      <c r="A162" s="129" t="s">
        <v>314</v>
      </c>
      <c r="B162" s="111" t="s">
        <v>205</v>
      </c>
      <c r="C162" s="544"/>
      <c r="D162" s="39">
        <v>0</v>
      </c>
      <c r="E162" s="552">
        <f>+'1.mell._Össz_Mérleg2014'!C162</f>
        <v>0</v>
      </c>
    </row>
    <row r="163" spans="1:5" ht="12">
      <c r="A163" s="129" t="s">
        <v>315</v>
      </c>
      <c r="B163" s="111" t="s">
        <v>206</v>
      </c>
      <c r="C163" s="544"/>
      <c r="D163" s="39">
        <v>0</v>
      </c>
      <c r="E163" s="552">
        <f>+'1.mell._Össz_Mérleg2014'!C163</f>
        <v>0</v>
      </c>
    </row>
    <row r="164" spans="1:5" ht="12.75" thickBot="1">
      <c r="A164" s="122" t="s">
        <v>316</v>
      </c>
      <c r="B164" s="112" t="s">
        <v>207</v>
      </c>
      <c r="C164" s="545">
        <v>7724</v>
      </c>
      <c r="D164" s="55">
        <v>55</v>
      </c>
      <c r="E164" s="553">
        <f>+'1.mell._Össz_Mérleg2014'!C164</f>
        <v>0</v>
      </c>
    </row>
    <row r="165" spans="1:5" s="29" customFormat="1" ht="12.75" thickBot="1">
      <c r="A165" s="127" t="s">
        <v>10</v>
      </c>
      <c r="B165" s="113" t="s">
        <v>361</v>
      </c>
      <c r="C165" s="196">
        <f>+C100+C139</f>
        <v>2852961</v>
      </c>
      <c r="D165" s="61">
        <f>+D100+D139</f>
        <v>2102749</v>
      </c>
      <c r="E165" s="556">
        <f>+E100+E139</f>
        <v>1686903</v>
      </c>
    </row>
    <row r="166" spans="1:5" s="29" customFormat="1" ht="12.75" thickBot="1">
      <c r="A166" s="127" t="s">
        <v>9</v>
      </c>
      <c r="B166" s="114" t="s">
        <v>362</v>
      </c>
      <c r="C166" s="196">
        <f>+C167</f>
        <v>5946</v>
      </c>
      <c r="D166" s="61">
        <f>+D167</f>
        <v>2135086</v>
      </c>
      <c r="E166" s="556">
        <f>+E167</f>
        <v>0</v>
      </c>
    </row>
    <row r="167" spans="1:5" s="29" customFormat="1" ht="12.75" thickBot="1">
      <c r="A167" s="127" t="s">
        <v>73</v>
      </c>
      <c r="B167" s="108" t="s">
        <v>363</v>
      </c>
      <c r="C167" s="196">
        <f>+C168+C177+C178</f>
        <v>5946</v>
      </c>
      <c r="D167" s="61">
        <f>+D168+D177+D178</f>
        <v>2135086</v>
      </c>
      <c r="E167" s="556">
        <f>+E168+E177+E178</f>
        <v>0</v>
      </c>
    </row>
    <row r="168" spans="1:5" ht="12">
      <c r="A168" s="128" t="s">
        <v>103</v>
      </c>
      <c r="B168" s="109" t="s">
        <v>447</v>
      </c>
      <c r="C168" s="546">
        <f>+C169+C170+C171+C172+C173+C174+C175+C176</f>
        <v>5946</v>
      </c>
      <c r="D168" s="38">
        <f>+D169+D170+D171+D172+D173+D174+D175+D176</f>
        <v>2135086</v>
      </c>
      <c r="E168" s="554">
        <f>+E169+E170+E171+E172+E173+E174+E175+E176</f>
        <v>0</v>
      </c>
    </row>
    <row r="169" spans="1:5" s="41" customFormat="1" ht="12">
      <c r="A169" s="130" t="s">
        <v>243</v>
      </c>
      <c r="B169" s="110" t="s">
        <v>208</v>
      </c>
      <c r="C169" s="542">
        <v>5946</v>
      </c>
      <c r="D169" s="40">
        <v>2135086</v>
      </c>
      <c r="E169" s="550">
        <f>+'1.mell._Össz_Mérleg2014'!C169</f>
        <v>0</v>
      </c>
    </row>
    <row r="170" spans="1:5" s="41" customFormat="1" ht="12">
      <c r="A170" s="130" t="s">
        <v>244</v>
      </c>
      <c r="B170" s="110" t="s">
        <v>209</v>
      </c>
      <c r="C170" s="542"/>
      <c r="D170" s="40">
        <v>0</v>
      </c>
      <c r="E170" s="550">
        <f>+'1.mell._Össz_Mérleg2014'!C170</f>
        <v>0</v>
      </c>
    </row>
    <row r="171" spans="1:5" s="41" customFormat="1" ht="12">
      <c r="A171" s="130" t="s">
        <v>245</v>
      </c>
      <c r="B171" s="110" t="s">
        <v>210</v>
      </c>
      <c r="C171" s="542"/>
      <c r="D171" s="40">
        <v>0</v>
      </c>
      <c r="E171" s="550">
        <f>+'1.mell._Össz_Mérleg2014'!C171</f>
        <v>0</v>
      </c>
    </row>
    <row r="172" spans="1:5" s="41" customFormat="1" ht="12">
      <c r="A172" s="130" t="s">
        <v>246</v>
      </c>
      <c r="B172" s="110" t="s">
        <v>211</v>
      </c>
      <c r="C172" s="542"/>
      <c r="D172" s="40">
        <v>0</v>
      </c>
      <c r="E172" s="550">
        <f>+'1.mell._Össz_Mérleg2014'!C172</f>
        <v>0</v>
      </c>
    </row>
    <row r="173" spans="1:5" s="41" customFormat="1" ht="12">
      <c r="A173" s="151" t="s">
        <v>247</v>
      </c>
      <c r="B173" s="152" t="s">
        <v>212</v>
      </c>
      <c r="C173" s="541"/>
      <c r="D173" s="155"/>
      <c r="E173" s="549">
        <f>+'1.mell._Össz_Mérleg2014'!C173</f>
        <v>0</v>
      </c>
    </row>
    <row r="174" spans="1:5" s="41" customFormat="1" ht="12">
      <c r="A174" s="130" t="s">
        <v>248</v>
      </c>
      <c r="B174" s="110" t="s">
        <v>217</v>
      </c>
      <c r="C174" s="542"/>
      <c r="D174" s="40">
        <v>0</v>
      </c>
      <c r="E174" s="550">
        <f>+'1.mell._Össz_Mérleg2014'!C174</f>
        <v>0</v>
      </c>
    </row>
    <row r="175" spans="1:5" s="41" customFormat="1" ht="12">
      <c r="A175" s="130" t="s">
        <v>249</v>
      </c>
      <c r="B175" s="110" t="s">
        <v>213</v>
      </c>
      <c r="C175" s="542"/>
      <c r="D175" s="40">
        <v>0</v>
      </c>
      <c r="E175" s="550">
        <f>+'1.mell._Össz_Mérleg2014'!C175</f>
        <v>0</v>
      </c>
    </row>
    <row r="176" spans="1:5" s="41" customFormat="1" ht="12">
      <c r="A176" s="130" t="s">
        <v>250</v>
      </c>
      <c r="B176" s="110" t="s">
        <v>214</v>
      </c>
      <c r="C176" s="542"/>
      <c r="D176" s="40">
        <v>0</v>
      </c>
      <c r="E176" s="550">
        <f>+'1.mell._Össz_Mérleg2014'!C176</f>
        <v>0</v>
      </c>
    </row>
    <row r="177" spans="1:5" ht="12">
      <c r="A177" s="129" t="s">
        <v>104</v>
      </c>
      <c r="B177" s="111" t="s">
        <v>215</v>
      </c>
      <c r="C177" s="544"/>
      <c r="D177" s="39">
        <v>0</v>
      </c>
      <c r="E177" s="552">
        <f>+'1.mell._Össz_Mérleg2014'!C177</f>
        <v>0</v>
      </c>
    </row>
    <row r="178" spans="1:5" ht="12.75" thickBot="1">
      <c r="A178" s="122" t="s">
        <v>105</v>
      </c>
      <c r="B178" s="112" t="s">
        <v>216</v>
      </c>
      <c r="C178" s="545"/>
      <c r="D178" s="55">
        <v>0</v>
      </c>
      <c r="E178" s="553">
        <f>+'1.mell._Össz_Mérleg2014'!C178</f>
        <v>0</v>
      </c>
    </row>
    <row r="179" spans="1:5" s="29" customFormat="1" ht="12.75" thickBot="1">
      <c r="A179" s="127" t="s">
        <v>72</v>
      </c>
      <c r="B179" s="113" t="s">
        <v>364</v>
      </c>
      <c r="C179" s="196">
        <f>+C180</f>
        <v>105294</v>
      </c>
      <c r="D179" s="61">
        <f>+D180</f>
        <v>0</v>
      </c>
      <c r="E179" s="556">
        <f>+E180</f>
        <v>0</v>
      </c>
    </row>
    <row r="180" spans="1:5" s="29" customFormat="1" ht="12.75" thickBot="1">
      <c r="A180" s="127" t="s">
        <v>71</v>
      </c>
      <c r="B180" s="108" t="s">
        <v>365</v>
      </c>
      <c r="C180" s="196">
        <f>+C181+C190+C191</f>
        <v>105294</v>
      </c>
      <c r="D180" s="61">
        <f>+D181+D190+D191</f>
        <v>0</v>
      </c>
      <c r="E180" s="556">
        <f>+E181+E190+E191</f>
        <v>0</v>
      </c>
    </row>
    <row r="181" spans="1:5" ht="12">
      <c r="A181" s="128" t="s">
        <v>106</v>
      </c>
      <c r="B181" s="109" t="s">
        <v>366</v>
      </c>
      <c r="C181" s="546">
        <f>+C182+C183+C184+C185+C186+C187+C188+C189</f>
        <v>105294</v>
      </c>
      <c r="D181" s="38">
        <f>+D182+D183+D184+D185+D186+D187+D188+D189</f>
        <v>0</v>
      </c>
      <c r="E181" s="554">
        <f>+E182+E183+E184+E185+E186+E187+E188+E189</f>
        <v>0</v>
      </c>
    </row>
    <row r="182" spans="1:5" s="41" customFormat="1" ht="12">
      <c r="A182" s="130" t="s">
        <v>251</v>
      </c>
      <c r="B182" s="110" t="s">
        <v>208</v>
      </c>
      <c r="C182" s="542">
        <v>2260</v>
      </c>
      <c r="D182" s="40"/>
      <c r="E182" s="550">
        <f>+'1.mell._Össz_Mérleg2014'!C182</f>
        <v>0</v>
      </c>
    </row>
    <row r="183" spans="1:5" s="41" customFormat="1" ht="12">
      <c r="A183" s="130" t="s">
        <v>252</v>
      </c>
      <c r="B183" s="110" t="s">
        <v>209</v>
      </c>
      <c r="C183" s="542">
        <v>103034</v>
      </c>
      <c r="D183" s="40"/>
      <c r="E183" s="550">
        <f>+'1.mell._Össz_Mérleg2014'!C183</f>
        <v>0</v>
      </c>
    </row>
    <row r="184" spans="1:5" s="41" customFormat="1" ht="12">
      <c r="A184" s="130" t="s">
        <v>253</v>
      </c>
      <c r="B184" s="110" t="s">
        <v>210</v>
      </c>
      <c r="C184" s="542"/>
      <c r="D184" s="40"/>
      <c r="E184" s="550">
        <f>+'1.mell._Össz_Mérleg2014'!C184</f>
        <v>0</v>
      </c>
    </row>
    <row r="185" spans="1:5" s="41" customFormat="1" ht="12">
      <c r="A185" s="130" t="s">
        <v>254</v>
      </c>
      <c r="B185" s="110" t="s">
        <v>211</v>
      </c>
      <c r="C185" s="542"/>
      <c r="D185" s="40"/>
      <c r="E185" s="550">
        <f>+'1.mell._Össz_Mérleg2014'!C185</f>
        <v>0</v>
      </c>
    </row>
    <row r="186" spans="1:5" s="41" customFormat="1" ht="12">
      <c r="A186" s="151" t="s">
        <v>255</v>
      </c>
      <c r="B186" s="152" t="s">
        <v>212</v>
      </c>
      <c r="C186" s="541"/>
      <c r="D186" s="155"/>
      <c r="E186" s="549">
        <f>+'1.mell._Össz_Mérleg2014'!C186</f>
        <v>0</v>
      </c>
    </row>
    <row r="187" spans="1:5" s="41" customFormat="1" ht="12">
      <c r="A187" s="130" t="s">
        <v>256</v>
      </c>
      <c r="B187" s="110" t="s">
        <v>217</v>
      </c>
      <c r="C187" s="542"/>
      <c r="D187" s="40"/>
      <c r="E187" s="550">
        <f>+'1.mell._Össz_Mérleg2014'!C187</f>
        <v>0</v>
      </c>
    </row>
    <row r="188" spans="1:5" s="41" customFormat="1" ht="12">
      <c r="A188" s="130" t="s">
        <v>257</v>
      </c>
      <c r="B188" s="110" t="s">
        <v>213</v>
      </c>
      <c r="C188" s="542"/>
      <c r="D188" s="40"/>
      <c r="E188" s="550">
        <f>+'1.mell._Össz_Mérleg2014'!C188</f>
        <v>0</v>
      </c>
    </row>
    <row r="189" spans="1:5" s="41" customFormat="1" ht="12">
      <c r="A189" s="130" t="s">
        <v>258</v>
      </c>
      <c r="B189" s="110" t="s">
        <v>214</v>
      </c>
      <c r="C189" s="542"/>
      <c r="D189" s="40"/>
      <c r="E189" s="550">
        <f>+'1.mell._Össz_Mérleg2014'!C189</f>
        <v>0</v>
      </c>
    </row>
    <row r="190" spans="1:5" ht="12">
      <c r="A190" s="129" t="s">
        <v>107</v>
      </c>
      <c r="B190" s="111" t="s">
        <v>215</v>
      </c>
      <c r="C190" s="544"/>
      <c r="D190" s="39"/>
      <c r="E190" s="552">
        <f>+'1.mell._Össz_Mérleg2014'!C190</f>
        <v>0</v>
      </c>
    </row>
    <row r="191" spans="1:5" ht="12.75" thickBot="1">
      <c r="A191" s="122" t="s">
        <v>259</v>
      </c>
      <c r="B191" s="112" t="s">
        <v>216</v>
      </c>
      <c r="C191" s="545"/>
      <c r="D191" s="55"/>
      <c r="E191" s="553">
        <f>+'1.mell._Össz_Mérleg2014'!C191</f>
        <v>0</v>
      </c>
    </row>
    <row r="192" spans="1:5" s="29" customFormat="1" ht="12.75" thickBot="1">
      <c r="A192" s="127" t="s">
        <v>68</v>
      </c>
      <c r="B192" s="113" t="s">
        <v>367</v>
      </c>
      <c r="C192" s="196">
        <f>+C166+C179</f>
        <v>111240</v>
      </c>
      <c r="D192" s="61">
        <f>+D166+D179</f>
        <v>2135086</v>
      </c>
      <c r="E192" s="556">
        <f>+E166+E179</f>
        <v>0</v>
      </c>
    </row>
    <row r="193" spans="1:5" s="29" customFormat="1" ht="12.75" thickBot="1">
      <c r="A193" s="131" t="s">
        <v>67</v>
      </c>
      <c r="B193" s="115" t="s">
        <v>391</v>
      </c>
      <c r="C193" s="540">
        <f>+C165+C192</f>
        <v>2964201</v>
      </c>
      <c r="D193" s="58">
        <f>+D165+D192</f>
        <v>4237835</v>
      </c>
      <c r="E193" s="548">
        <f>+E165+E192</f>
        <v>1686903</v>
      </c>
    </row>
    <row r="194" spans="2:4" s="41" customFormat="1" ht="12">
      <c r="B194" s="41" t="s">
        <v>1324</v>
      </c>
      <c r="C194" s="41">
        <v>-10272</v>
      </c>
      <c r="D194" s="41">
        <v>-6762</v>
      </c>
    </row>
    <row r="195" spans="3:5" s="73" customFormat="1" ht="12">
      <c r="C195" s="73">
        <f>+C193+C194</f>
        <v>2953929</v>
      </c>
      <c r="D195" s="73">
        <f>+D193+D194</f>
        <v>4231073</v>
      </c>
      <c r="E195" s="73">
        <f>+E193+E194</f>
        <v>1686903</v>
      </c>
    </row>
    <row r="196" spans="1:29" s="24" customFormat="1" ht="15.75">
      <c r="A196" s="1299" t="s">
        <v>117</v>
      </c>
      <c r="B196" s="1299"/>
      <c r="C196" s="1299"/>
      <c r="D196" s="1299"/>
      <c r="E196" s="1299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</row>
    <row r="197" spans="1:5" s="73" customFormat="1" ht="12.75" thickBot="1">
      <c r="A197" s="75" t="s">
        <v>320</v>
      </c>
      <c r="E197" s="74" t="s">
        <v>319</v>
      </c>
    </row>
    <row r="198" spans="1:5" s="29" customFormat="1" ht="12.75" thickBot="1">
      <c r="A198" s="127" t="s">
        <v>4</v>
      </c>
      <c r="B198" s="113" t="s">
        <v>368</v>
      </c>
      <c r="C198" s="196">
        <f>+C199+C200</f>
        <v>-390144</v>
      </c>
      <c r="D198" s="61">
        <f>+D199+D200</f>
        <v>-415698</v>
      </c>
      <c r="E198" s="556">
        <f>+E199+E200</f>
        <v>-90036</v>
      </c>
    </row>
    <row r="199" spans="1:5" ht="12">
      <c r="A199" s="128" t="s">
        <v>109</v>
      </c>
      <c r="B199" s="116" t="s">
        <v>369</v>
      </c>
      <c r="C199" s="546">
        <f>+C10-C100</f>
        <v>-345860</v>
      </c>
      <c r="D199" s="38">
        <f>+D10-D100</f>
        <v>52020</v>
      </c>
      <c r="E199" s="554">
        <f>+E10-E100</f>
        <v>-4613</v>
      </c>
    </row>
    <row r="200" spans="1:5" ht="12.75" thickBot="1">
      <c r="A200" s="132" t="s">
        <v>110</v>
      </c>
      <c r="B200" s="117" t="s">
        <v>370</v>
      </c>
      <c r="C200" s="539">
        <f>+C47-C139</f>
        <v>-44284</v>
      </c>
      <c r="D200" s="45">
        <f>+D47-D139</f>
        <v>-467718</v>
      </c>
      <c r="E200" s="538">
        <f>+E47-E139</f>
        <v>-85423</v>
      </c>
    </row>
    <row r="203" spans="1:29" s="24" customFormat="1" ht="15.75">
      <c r="A203" s="1299" t="s">
        <v>118</v>
      </c>
      <c r="B203" s="1299"/>
      <c r="C203" s="1299"/>
      <c r="D203" s="1299"/>
      <c r="E203" s="1299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</row>
    <row r="204" spans="1:5" s="73" customFormat="1" ht="12.75" thickBot="1">
      <c r="A204" s="75" t="s">
        <v>321</v>
      </c>
      <c r="E204" s="74" t="s">
        <v>319</v>
      </c>
    </row>
    <row r="205" spans="1:5" s="29" customFormat="1" ht="12.75" thickBot="1">
      <c r="A205" s="127" t="s">
        <v>4</v>
      </c>
      <c r="B205" s="113" t="s">
        <v>371</v>
      </c>
      <c r="C205" s="196">
        <f>+C206+C213</f>
        <v>638703</v>
      </c>
      <c r="D205" s="61">
        <f>+D206+D213</f>
        <v>768807</v>
      </c>
      <c r="E205" s="556">
        <f>+E206+E213</f>
        <v>90036</v>
      </c>
    </row>
    <row r="206" spans="1:5" s="29" customFormat="1" ht="12.75" thickBot="1">
      <c r="A206" s="127" t="s">
        <v>5</v>
      </c>
      <c r="B206" s="108" t="s">
        <v>372</v>
      </c>
      <c r="C206" s="196">
        <f>+C207-C210</f>
        <v>196573</v>
      </c>
      <c r="D206" s="61">
        <f>+D207-D210</f>
        <v>768807</v>
      </c>
      <c r="E206" s="556">
        <f>+E207-E210</f>
        <v>90036</v>
      </c>
    </row>
    <row r="207" spans="1:5" ht="12">
      <c r="A207" s="128" t="s">
        <v>82</v>
      </c>
      <c r="B207" s="109" t="s">
        <v>373</v>
      </c>
      <c r="C207" s="546">
        <f>+C208+C209</f>
        <v>202519</v>
      </c>
      <c r="D207" s="38">
        <f>+D208+D209</f>
        <v>2903893</v>
      </c>
      <c r="E207" s="554">
        <f>+E208+E209</f>
        <v>90036</v>
      </c>
    </row>
    <row r="208" spans="1:5" s="41" customFormat="1" ht="12">
      <c r="A208" s="130" t="s">
        <v>228</v>
      </c>
      <c r="B208" s="110" t="s">
        <v>323</v>
      </c>
      <c r="C208" s="542">
        <f>+C71+C75</f>
        <v>202519</v>
      </c>
      <c r="D208" s="40">
        <f>+D71+D75</f>
        <v>188807</v>
      </c>
      <c r="E208" s="550">
        <f>+E71+E75</f>
        <v>90036</v>
      </c>
    </row>
    <row r="209" spans="1:5" s="41" customFormat="1" ht="12">
      <c r="A209" s="130" t="s">
        <v>229</v>
      </c>
      <c r="B209" s="110" t="s">
        <v>324</v>
      </c>
      <c r="C209" s="542">
        <f>+C69+C70+C72+C73+C74+C76</f>
        <v>0</v>
      </c>
      <c r="D209" s="40">
        <f>+D69+D70+D72+D73+D74+D76</f>
        <v>2715086</v>
      </c>
      <c r="E209" s="550">
        <f>+E69+E70+E72+E73+E74+E76</f>
        <v>0</v>
      </c>
    </row>
    <row r="210" spans="1:5" ht="12">
      <c r="A210" s="129" t="s">
        <v>83</v>
      </c>
      <c r="B210" s="111" t="s">
        <v>374</v>
      </c>
      <c r="C210" s="544">
        <f>+C212</f>
        <v>5946</v>
      </c>
      <c r="D210" s="39">
        <f>+D212</f>
        <v>2135086</v>
      </c>
      <c r="E210" s="552">
        <f>+E212</f>
        <v>0</v>
      </c>
    </row>
    <row r="211" spans="1:5" s="41" customFormat="1" ht="12">
      <c r="A211" s="130" t="s">
        <v>84</v>
      </c>
      <c r="B211" s="110" t="s">
        <v>325</v>
      </c>
      <c r="C211" s="542">
        <f>+C174</f>
        <v>0</v>
      </c>
      <c r="D211" s="40">
        <f>+D174</f>
        <v>0</v>
      </c>
      <c r="E211" s="550">
        <f>+E174</f>
        <v>0</v>
      </c>
    </row>
    <row r="212" spans="1:5" s="41" customFormat="1" ht="12.75" thickBot="1">
      <c r="A212" s="133" t="s">
        <v>85</v>
      </c>
      <c r="B212" s="118" t="s">
        <v>326</v>
      </c>
      <c r="C212" s="543">
        <f>+C169+C170+C171+C172+C173+C175+C176</f>
        <v>5946</v>
      </c>
      <c r="D212" s="81">
        <f>+D169+D170+D171+D172+D173+D175+D176</f>
        <v>2135086</v>
      </c>
      <c r="E212" s="551">
        <f>+E169+E170+E171+E172+E173+E175+E176</f>
        <v>0</v>
      </c>
    </row>
    <row r="213" spans="1:5" s="29" customFormat="1" ht="12.75" thickBot="1">
      <c r="A213" s="127" t="s">
        <v>6</v>
      </c>
      <c r="B213" s="108" t="s">
        <v>375</v>
      </c>
      <c r="C213" s="196">
        <f>+C214-C217</f>
        <v>442130</v>
      </c>
      <c r="D213" s="61">
        <f>+D214-D217</f>
        <v>0</v>
      </c>
      <c r="E213" s="556">
        <f>+E214-E217</f>
        <v>0</v>
      </c>
    </row>
    <row r="214" spans="1:5" ht="12">
      <c r="A214" s="128" t="s">
        <v>86</v>
      </c>
      <c r="B214" s="109" t="s">
        <v>376</v>
      </c>
      <c r="C214" s="546">
        <f>+C215+C216</f>
        <v>547424</v>
      </c>
      <c r="D214" s="38">
        <f>+D215+D216</f>
        <v>0</v>
      </c>
      <c r="E214" s="554">
        <f>+E215+E216</f>
        <v>0</v>
      </c>
    </row>
    <row r="215" spans="1:5" s="41" customFormat="1" ht="12">
      <c r="A215" s="130" t="s">
        <v>331</v>
      </c>
      <c r="B215" s="110" t="s">
        <v>329</v>
      </c>
      <c r="C215" s="542">
        <f>+C84+C88</f>
        <v>17920</v>
      </c>
      <c r="D215" s="40">
        <f>+D84+D88</f>
        <v>0</v>
      </c>
      <c r="E215" s="550">
        <f>+E84+E88</f>
        <v>0</v>
      </c>
    </row>
    <row r="216" spans="1:5" s="41" customFormat="1" ht="12">
      <c r="A216" s="130" t="s">
        <v>332</v>
      </c>
      <c r="B216" s="110" t="s">
        <v>330</v>
      </c>
      <c r="C216" s="542">
        <f>+C82+C83+C85+C86+C87+C89</f>
        <v>529504</v>
      </c>
      <c r="D216" s="40">
        <f>+D82+D83+D85+D86+D87+D89</f>
        <v>0</v>
      </c>
      <c r="E216" s="550">
        <f>+E82+E83+E85+E86+E87+E89</f>
        <v>0</v>
      </c>
    </row>
    <row r="217" spans="1:5" ht="12">
      <c r="A217" s="129" t="s">
        <v>87</v>
      </c>
      <c r="B217" s="111" t="s">
        <v>377</v>
      </c>
      <c r="C217" s="544">
        <f>+C218+C219</f>
        <v>105294</v>
      </c>
      <c r="D217" s="39">
        <f>+D218+D219</f>
        <v>0</v>
      </c>
      <c r="E217" s="552">
        <f>+E218+E219</f>
        <v>0</v>
      </c>
    </row>
    <row r="218" spans="1:5" s="41" customFormat="1" ht="12">
      <c r="A218" s="130" t="s">
        <v>333</v>
      </c>
      <c r="B218" s="110" t="s">
        <v>327</v>
      </c>
      <c r="C218" s="542">
        <f>+C187</f>
        <v>0</v>
      </c>
      <c r="D218" s="40">
        <f>+D187</f>
        <v>0</v>
      </c>
      <c r="E218" s="550">
        <f>+E187</f>
        <v>0</v>
      </c>
    </row>
    <row r="219" spans="1:5" s="41" customFormat="1" ht="12.75" thickBot="1">
      <c r="A219" s="134" t="s">
        <v>334</v>
      </c>
      <c r="B219" s="119" t="s">
        <v>328</v>
      </c>
      <c r="C219" s="529">
        <f>+C182+C183+C184+C185+C186+C188+C189</f>
        <v>105294</v>
      </c>
      <c r="D219" s="79">
        <f>+D182+D183+D184+D185+D186+D188+D189</f>
        <v>0</v>
      </c>
      <c r="E219" s="537">
        <f>+E182+E183+E184+E185+E186+E188+E189</f>
        <v>0</v>
      </c>
    </row>
    <row r="222" spans="1:29" s="24" customFormat="1" ht="15.75">
      <c r="A222" s="1299" t="s">
        <v>383</v>
      </c>
      <c r="B222" s="1299"/>
      <c r="C222" s="1299"/>
      <c r="D222" s="1299"/>
      <c r="E222" s="1299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</row>
    <row r="223" spans="1:5" s="73" customFormat="1" ht="12.75" thickBot="1">
      <c r="A223" s="75" t="s">
        <v>322</v>
      </c>
      <c r="E223" s="74"/>
    </row>
    <row r="224" spans="1:5" s="29" customFormat="1" ht="12">
      <c r="A224" s="135" t="s">
        <v>4</v>
      </c>
      <c r="B224" s="120" t="s">
        <v>119</v>
      </c>
      <c r="C224" s="536">
        <v>310</v>
      </c>
      <c r="D224" s="96">
        <v>113</v>
      </c>
      <c r="E224" s="532">
        <f>+'1.mell._Össz_Mérleg2014'!C224</f>
        <v>110.5</v>
      </c>
    </row>
    <row r="225" spans="1:5" s="41" customFormat="1" ht="12">
      <c r="A225" s="133" t="s">
        <v>408</v>
      </c>
      <c r="B225" s="146" t="s">
        <v>409</v>
      </c>
      <c r="C225" s="535"/>
      <c r="D225" s="149">
        <v>4</v>
      </c>
      <c r="E225" s="531">
        <f>+'1.mell._Össz_Mérleg2014'!C225</f>
        <v>0</v>
      </c>
    </row>
    <row r="226" spans="1:5" s="29" customFormat="1" ht="12.75" thickBot="1">
      <c r="A226" s="136" t="s">
        <v>5</v>
      </c>
      <c r="B226" s="121" t="s">
        <v>120</v>
      </c>
      <c r="C226" s="534">
        <v>91</v>
      </c>
      <c r="D226" s="100">
        <v>131</v>
      </c>
      <c r="E226" s="530">
        <f>+'1.mell._Össz_Mérleg2014'!C226</f>
        <v>471</v>
      </c>
    </row>
    <row r="227" spans="1:5" s="29" customFormat="1" ht="12.75" thickBot="1">
      <c r="A227" s="127" t="s">
        <v>6</v>
      </c>
      <c r="B227" s="113" t="s">
        <v>380</v>
      </c>
      <c r="C227" s="533">
        <f>+C224+C226</f>
        <v>401</v>
      </c>
      <c r="D227" s="104">
        <f>+D224+D226</f>
        <v>244</v>
      </c>
      <c r="E227" s="560">
        <f>+E224+E226</f>
        <v>581.5</v>
      </c>
    </row>
  </sheetData>
  <sheetProtection/>
  <mergeCells count="8">
    <mergeCell ref="A196:E196"/>
    <mergeCell ref="A203:E203"/>
    <mergeCell ref="A222:E222"/>
    <mergeCell ref="A5:E5"/>
    <mergeCell ref="A3:E3"/>
    <mergeCell ref="A4:E4"/>
    <mergeCell ref="A6:E6"/>
    <mergeCell ref="A96:E9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5" r:id="rId1"/>
  <headerFooter>
    <oddHeader>&amp;C 9. melléklet - &amp;P. oldal</oddHeader>
  </headerFooter>
  <rowBreaks count="1" manualBreakCount="1">
    <brk id="95" max="5" man="1"/>
  </rowBreaks>
  <colBreaks count="1" manualBreakCount="1">
    <brk id="5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F108"/>
  <sheetViews>
    <sheetView zoomScale="90" zoomScaleNormal="90" zoomScalePageLayoutView="0" workbookViewId="0" topLeftCell="A1">
      <selection activeCell="C1" sqref="C1"/>
    </sheetView>
  </sheetViews>
  <sheetFormatPr defaultColWidth="71.125" defaultRowHeight="12.75"/>
  <cols>
    <col min="1" max="1" width="6.25390625" style="933" customWidth="1"/>
    <col min="2" max="2" width="87.875" style="603" customWidth="1"/>
    <col min="3" max="3" width="13.25390625" style="603" customWidth="1"/>
    <col min="4" max="4" width="9.00390625" style="603" customWidth="1"/>
    <col min="5" max="6" width="9.00390625" style="603" hidden="1" customWidth="1"/>
    <col min="7" max="34" width="9.00390625" style="603" customWidth="1"/>
    <col min="35" max="16384" width="71.125" style="603" customWidth="1"/>
  </cols>
  <sheetData>
    <row r="1" spans="1:3" s="930" customFormat="1" ht="15.75">
      <c r="A1" s="928"/>
      <c r="B1" s="929"/>
      <c r="C1" s="223" t="s">
        <v>1415</v>
      </c>
    </row>
    <row r="2" spans="1:3" s="930" customFormat="1" ht="15.75">
      <c r="A2" s="928"/>
      <c r="B2" s="929"/>
      <c r="C2" s="587"/>
    </row>
    <row r="3" spans="1:3" s="930" customFormat="1" ht="15.75">
      <c r="A3" s="1354" t="s">
        <v>768</v>
      </c>
      <c r="B3" s="1354"/>
      <c r="C3" s="1354"/>
    </row>
    <row r="4" spans="1:3" ht="12">
      <c r="A4" s="931"/>
      <c r="B4" s="579"/>
      <c r="C4" s="579"/>
    </row>
    <row r="5" spans="1:3" ht="12.75" thickBot="1">
      <c r="A5" s="931"/>
      <c r="B5" s="580"/>
      <c r="C5" s="481" t="s">
        <v>694</v>
      </c>
    </row>
    <row r="6" spans="1:3" ht="24.75" thickBot="1">
      <c r="A6" s="576" t="s">
        <v>17</v>
      </c>
      <c r="B6" s="575" t="s">
        <v>670</v>
      </c>
      <c r="C6" s="699" t="s">
        <v>419</v>
      </c>
    </row>
    <row r="7" spans="1:3" ht="12.75" thickBot="1">
      <c r="A7" s="581" t="s">
        <v>671</v>
      </c>
      <c r="B7" s="582">
        <v>2</v>
      </c>
      <c r="C7" s="583">
        <v>3</v>
      </c>
    </row>
    <row r="8" spans="1:3" ht="12.75" thickBot="1">
      <c r="A8" s="1355" t="s">
        <v>763</v>
      </c>
      <c r="B8" s="1356"/>
      <c r="C8" s="1357"/>
    </row>
    <row r="9" spans="1:3" ht="12">
      <c r="A9" s="600" t="s">
        <v>4</v>
      </c>
      <c r="B9" s="601" t="s">
        <v>695</v>
      </c>
      <c r="C9" s="602">
        <f>+C10+C11+C16+C17</f>
        <v>222213065</v>
      </c>
    </row>
    <row r="10" spans="1:3" ht="12">
      <c r="A10" s="475" t="s">
        <v>696</v>
      </c>
      <c r="B10" s="591" t="s">
        <v>672</v>
      </c>
      <c r="C10" s="573">
        <v>135705400</v>
      </c>
    </row>
    <row r="11" spans="1:3" ht="12">
      <c r="A11" s="475" t="s">
        <v>697</v>
      </c>
      <c r="B11" s="591" t="s">
        <v>698</v>
      </c>
      <c r="C11" s="573">
        <f>+C12+C13+C14+C15</f>
        <v>56354065</v>
      </c>
    </row>
    <row r="12" spans="1:3" s="932" customFormat="1" ht="12">
      <c r="A12" s="584" t="s">
        <v>699</v>
      </c>
      <c r="B12" s="590" t="s">
        <v>673</v>
      </c>
      <c r="C12" s="572">
        <v>13462510</v>
      </c>
    </row>
    <row r="13" spans="1:3" s="932" customFormat="1" ht="12">
      <c r="A13" s="584" t="s">
        <v>700</v>
      </c>
      <c r="B13" s="590" t="s">
        <v>674</v>
      </c>
      <c r="C13" s="572">
        <v>24514800</v>
      </c>
    </row>
    <row r="14" spans="1:3" s="932" customFormat="1" ht="12">
      <c r="A14" s="584" t="s">
        <v>701</v>
      </c>
      <c r="B14" s="590" t="s">
        <v>675</v>
      </c>
      <c r="C14" s="572">
        <v>3460080</v>
      </c>
    </row>
    <row r="15" spans="1:3" s="932" customFormat="1" ht="12">
      <c r="A15" s="584" t="s">
        <v>702</v>
      </c>
      <c r="B15" s="590" t="s">
        <v>676</v>
      </c>
      <c r="C15" s="572">
        <v>14916675</v>
      </c>
    </row>
    <row r="16" spans="1:3" ht="12">
      <c r="A16" s="475" t="s">
        <v>703</v>
      </c>
      <c r="B16" s="591" t="s">
        <v>704</v>
      </c>
      <c r="C16" s="573">
        <v>30153600</v>
      </c>
    </row>
    <row r="17" spans="1:3" ht="12">
      <c r="A17" s="475" t="s">
        <v>705</v>
      </c>
      <c r="B17" s="591" t="s">
        <v>706</v>
      </c>
      <c r="C17" s="573"/>
    </row>
    <row r="18" spans="1:3" ht="12">
      <c r="A18" s="475" t="s">
        <v>5</v>
      </c>
      <c r="B18" s="574" t="s">
        <v>707</v>
      </c>
      <c r="C18" s="573"/>
    </row>
    <row r="19" spans="1:3" ht="12.75" thickBot="1">
      <c r="A19" s="475" t="s">
        <v>6</v>
      </c>
      <c r="B19" s="574" t="s">
        <v>708</v>
      </c>
      <c r="C19" s="573"/>
    </row>
    <row r="20" spans="1:6" ht="12.75" thickBot="1">
      <c r="A20" s="588" t="s">
        <v>42</v>
      </c>
      <c r="B20" s="571" t="s">
        <v>745</v>
      </c>
      <c r="C20" s="570">
        <f>+C9+C18+C19</f>
        <v>222213065</v>
      </c>
      <c r="E20" s="937">
        <f>+'1.mell._Össz_Mérleg2014'!C13</f>
        <v>222213</v>
      </c>
      <c r="F20" s="937">
        <f>+ROUND(C20/1000,0)-E20</f>
        <v>0</v>
      </c>
    </row>
    <row r="21" spans="1:3" ht="12">
      <c r="A21" s="585" t="s">
        <v>4</v>
      </c>
      <c r="B21" s="569" t="s">
        <v>677</v>
      </c>
      <c r="C21" s="568">
        <v>163121867</v>
      </c>
    </row>
    <row r="22" spans="1:3" ht="12">
      <c r="A22" s="478" t="s">
        <v>5</v>
      </c>
      <c r="B22" s="567" t="s">
        <v>678</v>
      </c>
      <c r="C22" s="565">
        <v>20010667</v>
      </c>
    </row>
    <row r="23" spans="1:3" ht="12.75" thickBot="1">
      <c r="A23" s="478" t="s">
        <v>6</v>
      </c>
      <c r="B23" s="567" t="s">
        <v>679</v>
      </c>
      <c r="C23" s="565"/>
    </row>
    <row r="24" spans="1:6" ht="12.75" thickBot="1">
      <c r="A24" s="588" t="s">
        <v>41</v>
      </c>
      <c r="B24" s="571" t="s">
        <v>746</v>
      </c>
      <c r="C24" s="570">
        <f>+C21+C22+C23</f>
        <v>183132534</v>
      </c>
      <c r="E24" s="937">
        <f>+'1.mell._Össz_Mérleg2014'!C14</f>
        <v>183133</v>
      </c>
      <c r="F24" s="937">
        <f>+ROUND(C24/1000,0)-E24</f>
        <v>0</v>
      </c>
    </row>
    <row r="25" spans="1:3" ht="12">
      <c r="A25" s="585" t="s">
        <v>4</v>
      </c>
      <c r="B25" s="569" t="s">
        <v>680</v>
      </c>
      <c r="C25" s="568">
        <f>241100000-24000000-3600000-1800000</f>
        <v>211700000</v>
      </c>
    </row>
    <row r="26" spans="1:3" s="932" customFormat="1" ht="12">
      <c r="A26" s="586" t="s">
        <v>5</v>
      </c>
      <c r="B26" s="595" t="s">
        <v>681</v>
      </c>
      <c r="C26" s="566">
        <v>101210271</v>
      </c>
    </row>
    <row r="27" spans="1:3" ht="12">
      <c r="A27" s="585"/>
      <c r="B27" s="569" t="s">
        <v>734</v>
      </c>
      <c r="C27" s="568">
        <f>+C26+C65</f>
        <v>64164486</v>
      </c>
    </row>
    <row r="28" spans="1:3" ht="12">
      <c r="A28" s="478" t="s">
        <v>6</v>
      </c>
      <c r="B28" s="567" t="s">
        <v>682</v>
      </c>
      <c r="C28" s="565">
        <f>+C29+C30+C31+C32+C33+C34+C35+C36+C37+C38+C41+C42+C43</f>
        <v>11117250</v>
      </c>
    </row>
    <row r="29" spans="1:3" ht="12">
      <c r="A29" s="478" t="s">
        <v>709</v>
      </c>
      <c r="B29" s="592" t="s">
        <v>710</v>
      </c>
      <c r="C29" s="565"/>
    </row>
    <row r="30" spans="1:3" ht="12">
      <c r="A30" s="478" t="s">
        <v>697</v>
      </c>
      <c r="B30" s="592" t="s">
        <v>683</v>
      </c>
      <c r="C30" s="565"/>
    </row>
    <row r="31" spans="1:3" ht="12">
      <c r="A31" s="478" t="s">
        <v>703</v>
      </c>
      <c r="B31" s="592" t="s">
        <v>684</v>
      </c>
      <c r="C31" s="565"/>
    </row>
    <row r="32" spans="1:3" ht="12">
      <c r="A32" s="478" t="s">
        <v>705</v>
      </c>
      <c r="B32" s="592" t="s">
        <v>685</v>
      </c>
      <c r="C32" s="565"/>
    </row>
    <row r="33" spans="1:3" ht="12">
      <c r="A33" s="478" t="s">
        <v>711</v>
      </c>
      <c r="B33" s="592" t="s">
        <v>686</v>
      </c>
      <c r="C33" s="565"/>
    </row>
    <row r="34" spans="1:3" ht="12">
      <c r="A34" s="478" t="s">
        <v>712</v>
      </c>
      <c r="B34" s="592" t="s">
        <v>687</v>
      </c>
      <c r="C34" s="565"/>
    </row>
    <row r="35" spans="1:3" ht="12">
      <c r="A35" s="478" t="s">
        <v>713</v>
      </c>
      <c r="B35" s="592" t="s">
        <v>688</v>
      </c>
      <c r="C35" s="565"/>
    </row>
    <row r="36" spans="1:3" ht="12">
      <c r="A36" s="478" t="s">
        <v>714</v>
      </c>
      <c r="B36" s="592" t="s">
        <v>715</v>
      </c>
      <c r="C36" s="565"/>
    </row>
    <row r="37" spans="1:3" ht="12">
      <c r="A37" s="478" t="s">
        <v>716</v>
      </c>
      <c r="B37" s="592" t="s">
        <v>689</v>
      </c>
      <c r="C37" s="565"/>
    </row>
    <row r="38" spans="1:3" ht="12">
      <c r="A38" s="478" t="s">
        <v>717</v>
      </c>
      <c r="B38" s="592" t="s">
        <v>718</v>
      </c>
      <c r="C38" s="565">
        <f>+C39+C40</f>
        <v>11117250</v>
      </c>
    </row>
    <row r="39" spans="1:3" s="932" customFormat="1" ht="12">
      <c r="A39" s="586" t="s">
        <v>719</v>
      </c>
      <c r="B39" s="593" t="s">
        <v>720</v>
      </c>
      <c r="C39" s="566">
        <v>11117250</v>
      </c>
    </row>
    <row r="40" spans="1:3" s="932" customFormat="1" ht="12">
      <c r="A40" s="586" t="s">
        <v>721</v>
      </c>
      <c r="B40" s="593" t="s">
        <v>722</v>
      </c>
      <c r="C40" s="566"/>
    </row>
    <row r="41" spans="1:3" ht="12">
      <c r="A41" s="478" t="s">
        <v>723</v>
      </c>
      <c r="B41" s="592" t="s">
        <v>724</v>
      </c>
      <c r="C41" s="565"/>
    </row>
    <row r="42" spans="1:3" ht="12">
      <c r="A42" s="478" t="s">
        <v>725</v>
      </c>
      <c r="B42" s="592" t="s">
        <v>690</v>
      </c>
      <c r="C42" s="565"/>
    </row>
    <row r="43" spans="1:3" ht="12">
      <c r="A43" s="478" t="s">
        <v>726</v>
      </c>
      <c r="B43" s="592" t="s">
        <v>727</v>
      </c>
      <c r="C43" s="565"/>
    </row>
    <row r="44" spans="1:3" ht="24">
      <c r="A44" s="478" t="s">
        <v>3</v>
      </c>
      <c r="B44" s="567" t="s">
        <v>728</v>
      </c>
      <c r="C44" s="565">
        <f>+C45+C46</f>
        <v>0</v>
      </c>
    </row>
    <row r="45" spans="1:3" ht="12">
      <c r="A45" s="478" t="s">
        <v>709</v>
      </c>
      <c r="B45" s="592" t="s">
        <v>729</v>
      </c>
      <c r="C45" s="565"/>
    </row>
    <row r="46" spans="1:3" ht="12">
      <c r="A46" s="478" t="s">
        <v>697</v>
      </c>
      <c r="B46" s="592" t="s">
        <v>730</v>
      </c>
      <c r="C46" s="565"/>
    </row>
    <row r="47" spans="1:3" ht="12">
      <c r="A47" s="478" t="s">
        <v>16</v>
      </c>
      <c r="B47" s="567" t="s">
        <v>731</v>
      </c>
      <c r="C47" s="565">
        <f>+C48+C49</f>
        <v>53188001</v>
      </c>
    </row>
    <row r="48" spans="1:3" ht="12">
      <c r="A48" s="478" t="s">
        <v>709</v>
      </c>
      <c r="B48" s="592" t="s">
        <v>732</v>
      </c>
      <c r="C48" s="565">
        <v>29881920</v>
      </c>
    </row>
    <row r="49" spans="1:3" ht="12.75" thickBot="1">
      <c r="A49" s="478" t="s">
        <v>697</v>
      </c>
      <c r="B49" s="592" t="s">
        <v>733</v>
      </c>
      <c r="C49" s="565">
        <v>23306081</v>
      </c>
    </row>
    <row r="50" spans="1:6" ht="24.75" thickBot="1">
      <c r="A50" s="588" t="s">
        <v>40</v>
      </c>
      <c r="B50" s="571" t="s">
        <v>747</v>
      </c>
      <c r="C50" s="570">
        <f>+C25+C27+C28+C44+C47</f>
        <v>340169737</v>
      </c>
      <c r="E50" s="937">
        <f>+'1.mell._Össz_Mérleg2014'!C15</f>
        <v>340169</v>
      </c>
      <c r="F50" s="937">
        <f>+ROUND(C50/1000,0)-E50</f>
        <v>1</v>
      </c>
    </row>
    <row r="51" spans="1:3" ht="12">
      <c r="A51" s="585" t="s">
        <v>4</v>
      </c>
      <c r="B51" s="569" t="s">
        <v>691</v>
      </c>
      <c r="C51" s="568">
        <f>+C52+C53+C54+C55+C56+C57+C58+C59</f>
        <v>16276520</v>
      </c>
    </row>
    <row r="52" spans="1:3" ht="12">
      <c r="A52" s="585" t="s">
        <v>709</v>
      </c>
      <c r="B52" s="594" t="s">
        <v>735</v>
      </c>
      <c r="C52" s="568"/>
    </row>
    <row r="53" spans="1:3" ht="12">
      <c r="A53" s="585" t="s">
        <v>697</v>
      </c>
      <c r="B53" s="594" t="s">
        <v>736</v>
      </c>
      <c r="C53" s="568"/>
    </row>
    <row r="54" spans="1:3" ht="12">
      <c r="A54" s="585" t="s">
        <v>703</v>
      </c>
      <c r="B54" s="594" t="s">
        <v>737</v>
      </c>
      <c r="C54" s="568"/>
    </row>
    <row r="55" spans="1:3" ht="12">
      <c r="A55" s="585" t="s">
        <v>705</v>
      </c>
      <c r="B55" s="594" t="s">
        <v>738</v>
      </c>
      <c r="C55" s="568">
        <v>12731520</v>
      </c>
    </row>
    <row r="56" spans="1:3" ht="12">
      <c r="A56" s="585" t="s">
        <v>711</v>
      </c>
      <c r="B56" s="594" t="s">
        <v>43</v>
      </c>
      <c r="C56" s="568">
        <v>3545000</v>
      </c>
    </row>
    <row r="57" spans="1:3" ht="12">
      <c r="A57" s="585" t="s">
        <v>712</v>
      </c>
      <c r="B57" s="594" t="s">
        <v>739</v>
      </c>
      <c r="C57" s="568"/>
    </row>
    <row r="58" spans="1:3" ht="12">
      <c r="A58" s="585" t="s">
        <v>713</v>
      </c>
      <c r="B58" s="594" t="s">
        <v>740</v>
      </c>
      <c r="C58" s="568"/>
    </row>
    <row r="59" spans="1:3" ht="12">
      <c r="A59" s="585" t="s">
        <v>714</v>
      </c>
      <c r="B59" s="594" t="s">
        <v>741</v>
      </c>
      <c r="C59" s="568"/>
    </row>
    <row r="60" spans="1:3" ht="12">
      <c r="A60" s="585" t="s">
        <v>5</v>
      </c>
      <c r="B60" s="569" t="s">
        <v>692</v>
      </c>
      <c r="C60" s="568">
        <f>+C61+C62+C63</f>
        <v>0</v>
      </c>
    </row>
    <row r="61" spans="1:3" ht="12">
      <c r="A61" s="585" t="s">
        <v>709</v>
      </c>
      <c r="B61" s="594" t="s">
        <v>742</v>
      </c>
      <c r="C61" s="568"/>
    </row>
    <row r="62" spans="1:3" ht="12">
      <c r="A62" s="585" t="s">
        <v>697</v>
      </c>
      <c r="B62" s="594" t="s">
        <v>743</v>
      </c>
      <c r="C62" s="568"/>
    </row>
    <row r="63" spans="1:3" ht="12.75" thickBot="1">
      <c r="A63" s="585" t="s">
        <v>703</v>
      </c>
      <c r="B63" s="594" t="s">
        <v>744</v>
      </c>
      <c r="C63" s="568"/>
    </row>
    <row r="64" spans="1:6" ht="12.75" thickBot="1">
      <c r="A64" s="588" t="s">
        <v>39</v>
      </c>
      <c r="B64" s="571" t="s">
        <v>749</v>
      </c>
      <c r="C64" s="570">
        <f>+C51+C60</f>
        <v>16276520</v>
      </c>
      <c r="E64" s="937">
        <f>+'1.mell._Össz_Mérleg2014'!C16</f>
        <v>16277</v>
      </c>
      <c r="F64" s="937">
        <f>+ROUND(C64/1000,0)-E64</f>
        <v>0</v>
      </c>
    </row>
    <row r="65" spans="1:3" s="932" customFormat="1" ht="12.75" thickBot="1">
      <c r="A65" s="596" t="s">
        <v>693</v>
      </c>
      <c r="B65" s="597" t="s">
        <v>748</v>
      </c>
      <c r="C65" s="598">
        <v>-37045785</v>
      </c>
    </row>
    <row r="66" spans="1:3" ht="24.75" thickBot="1">
      <c r="A66" s="599" t="s">
        <v>765</v>
      </c>
      <c r="B66" s="571" t="s">
        <v>769</v>
      </c>
      <c r="C66" s="570">
        <f>+C20+C24+C50+C64</f>
        <v>761791856</v>
      </c>
    </row>
    <row r="67" spans="1:3" ht="12.75" thickBot="1">
      <c r="A67" s="589"/>
      <c r="B67" s="577"/>
      <c r="C67" s="578"/>
    </row>
    <row r="68" spans="1:3" ht="12.75" thickBot="1">
      <c r="A68" s="1355" t="s">
        <v>764</v>
      </c>
      <c r="B68" s="1356"/>
      <c r="C68" s="1357"/>
    </row>
    <row r="69" spans="1:3" ht="12">
      <c r="A69" s="478" t="s">
        <v>4</v>
      </c>
      <c r="B69" s="567" t="s">
        <v>60</v>
      </c>
      <c r="C69" s="565"/>
    </row>
    <row r="70" spans="1:3" ht="12">
      <c r="A70" s="478" t="s">
        <v>5</v>
      </c>
      <c r="B70" s="567" t="s">
        <v>59</v>
      </c>
      <c r="C70" s="565"/>
    </row>
    <row r="71" spans="1:3" ht="24">
      <c r="A71" s="478" t="s">
        <v>6</v>
      </c>
      <c r="B71" s="567" t="s">
        <v>750</v>
      </c>
      <c r="C71" s="565"/>
    </row>
    <row r="72" spans="1:3" ht="12">
      <c r="A72" s="478" t="s">
        <v>3</v>
      </c>
      <c r="B72" s="567" t="s">
        <v>58</v>
      </c>
      <c r="C72" s="565"/>
    </row>
    <row r="73" spans="1:3" ht="12">
      <c r="A73" s="478" t="s">
        <v>16</v>
      </c>
      <c r="B73" s="567" t="s">
        <v>57</v>
      </c>
      <c r="C73" s="565"/>
    </row>
    <row r="74" spans="1:3" ht="12">
      <c r="A74" s="478" t="s">
        <v>15</v>
      </c>
      <c r="B74" s="567" t="s">
        <v>56</v>
      </c>
      <c r="C74" s="565"/>
    </row>
    <row r="75" spans="1:3" ht="12">
      <c r="A75" s="478" t="s">
        <v>14</v>
      </c>
      <c r="B75" s="567" t="s">
        <v>55</v>
      </c>
      <c r="C75" s="565"/>
    </row>
    <row r="76" spans="1:3" ht="12">
      <c r="A76" s="478" t="s">
        <v>13</v>
      </c>
      <c r="B76" s="567" t="s">
        <v>54</v>
      </c>
      <c r="C76" s="565"/>
    </row>
    <row r="77" spans="1:3" ht="12">
      <c r="A77" s="478" t="s">
        <v>12</v>
      </c>
      <c r="B77" s="567" t="s">
        <v>53</v>
      </c>
      <c r="C77" s="565"/>
    </row>
    <row r="78" spans="1:3" ht="12">
      <c r="A78" s="478" t="s">
        <v>11</v>
      </c>
      <c r="B78" s="567" t="s">
        <v>52</v>
      </c>
      <c r="C78" s="565">
        <f>+C79+C80+C83+C84+C85</f>
        <v>0</v>
      </c>
    </row>
    <row r="79" spans="1:3" ht="12">
      <c r="A79" s="478" t="s">
        <v>709</v>
      </c>
      <c r="B79" s="592" t="s">
        <v>751</v>
      </c>
      <c r="C79" s="565"/>
    </row>
    <row r="80" spans="1:3" ht="12">
      <c r="A80" s="478" t="s">
        <v>697</v>
      </c>
      <c r="B80" s="592" t="s">
        <v>752</v>
      </c>
      <c r="C80" s="565">
        <f>+C81+C82</f>
        <v>0</v>
      </c>
    </row>
    <row r="81" spans="1:3" s="932" customFormat="1" ht="12">
      <c r="A81" s="586" t="s">
        <v>699</v>
      </c>
      <c r="B81" s="593" t="s">
        <v>753</v>
      </c>
      <c r="C81" s="566"/>
    </row>
    <row r="82" spans="1:3" s="932" customFormat="1" ht="12">
      <c r="A82" s="586" t="s">
        <v>700</v>
      </c>
      <c r="B82" s="593" t="s">
        <v>754</v>
      </c>
      <c r="C82" s="566"/>
    </row>
    <row r="83" spans="1:3" ht="12">
      <c r="A83" s="478" t="s">
        <v>703</v>
      </c>
      <c r="B83" s="592" t="s">
        <v>755</v>
      </c>
      <c r="C83" s="565"/>
    </row>
    <row r="84" spans="1:3" ht="12">
      <c r="A84" s="478" t="s">
        <v>705</v>
      </c>
      <c r="B84" s="592" t="s">
        <v>756</v>
      </c>
      <c r="C84" s="565"/>
    </row>
    <row r="85" spans="1:3" ht="12">
      <c r="A85" s="478" t="s">
        <v>711</v>
      </c>
      <c r="B85" s="592" t="s">
        <v>757</v>
      </c>
      <c r="C85" s="565"/>
    </row>
    <row r="86" spans="1:3" ht="12">
      <c r="A86" s="478" t="s">
        <v>10</v>
      </c>
      <c r="B86" s="567" t="s">
        <v>758</v>
      </c>
      <c r="C86" s="565"/>
    </row>
    <row r="87" spans="1:3" ht="12">
      <c r="A87" s="478" t="s">
        <v>9</v>
      </c>
      <c r="B87" s="567" t="s">
        <v>51</v>
      </c>
      <c r="C87" s="565"/>
    </row>
    <row r="88" spans="1:3" ht="12">
      <c r="A88" s="478" t="s">
        <v>73</v>
      </c>
      <c r="B88" s="567" t="s">
        <v>50</v>
      </c>
      <c r="C88" s="565"/>
    </row>
    <row r="89" spans="1:3" ht="12">
      <c r="A89" s="478" t="s">
        <v>72</v>
      </c>
      <c r="B89" s="567" t="s">
        <v>49</v>
      </c>
      <c r="C89" s="565"/>
    </row>
    <row r="90" spans="1:3" ht="12">
      <c r="A90" s="478" t="s">
        <v>71</v>
      </c>
      <c r="B90" s="567" t="s">
        <v>48</v>
      </c>
      <c r="C90" s="565">
        <v>110250</v>
      </c>
    </row>
    <row r="91" spans="1:3" ht="12">
      <c r="A91" s="478" t="s">
        <v>68</v>
      </c>
      <c r="B91" s="567" t="s">
        <v>47</v>
      </c>
      <c r="C91" s="565">
        <f>+C92+C93</f>
        <v>2240000</v>
      </c>
    </row>
    <row r="92" spans="1:3" ht="24">
      <c r="A92" s="478" t="s">
        <v>709</v>
      </c>
      <c r="B92" s="592" t="s">
        <v>759</v>
      </c>
      <c r="C92" s="565"/>
    </row>
    <row r="93" spans="1:3" ht="12">
      <c r="A93" s="478" t="s">
        <v>697</v>
      </c>
      <c r="B93" s="592" t="s">
        <v>760</v>
      </c>
      <c r="C93" s="565">
        <v>2240000</v>
      </c>
    </row>
    <row r="94" spans="1:3" ht="12">
      <c r="A94" s="478" t="s">
        <v>67</v>
      </c>
      <c r="B94" s="567" t="s">
        <v>46</v>
      </c>
      <c r="C94" s="565">
        <v>1015372</v>
      </c>
    </row>
    <row r="95" spans="1:3" ht="12">
      <c r="A95" s="478" t="s">
        <v>66</v>
      </c>
      <c r="B95" s="567" t="s">
        <v>761</v>
      </c>
      <c r="C95" s="565"/>
    </row>
    <row r="96" spans="1:3" ht="12">
      <c r="A96" s="478" t="s">
        <v>65</v>
      </c>
      <c r="B96" s="567" t="s">
        <v>45</v>
      </c>
      <c r="C96" s="565"/>
    </row>
    <row r="97" spans="1:3" ht="12">
      <c r="A97" s="478" t="s">
        <v>64</v>
      </c>
      <c r="B97" s="567" t="s">
        <v>762</v>
      </c>
      <c r="C97" s="565"/>
    </row>
    <row r="98" spans="1:3" ht="12.75" thickBot="1">
      <c r="A98" s="478" t="s">
        <v>63</v>
      </c>
      <c r="B98" s="567" t="s">
        <v>44</v>
      </c>
      <c r="C98" s="565"/>
    </row>
    <row r="99" spans="1:6" ht="24.75" thickBot="1">
      <c r="A99" s="599" t="s">
        <v>766</v>
      </c>
      <c r="B99" s="571" t="s">
        <v>770</v>
      </c>
      <c r="C99" s="570">
        <f>+C69+C70+C71+C72+C73+C74+C75+C76+C77+C78+C86+C87+C88+C89+C90+C91+C94+C95+C96+C97+C98</f>
        <v>3365622</v>
      </c>
      <c r="E99" s="937">
        <f>+'1.mell._Össz_Mérleg2014'!C17+'1.mell._Össz_Mérleg2014'!C49</f>
        <v>3366</v>
      </c>
      <c r="F99" s="937">
        <f>+ROUND(C99/1000,0)-E99</f>
        <v>0</v>
      </c>
    </row>
    <row r="100" spans="1:3" ht="12.75" thickBot="1">
      <c r="A100" s="589"/>
      <c r="B100" s="577"/>
      <c r="C100" s="578"/>
    </row>
    <row r="101" spans="1:3" ht="12.75" thickBot="1">
      <c r="A101" s="1355" t="s">
        <v>773</v>
      </c>
      <c r="B101" s="1356"/>
      <c r="C101" s="1357"/>
    </row>
    <row r="102" spans="1:3" ht="12">
      <c r="A102" s="478" t="s">
        <v>4</v>
      </c>
      <c r="B102" s="567" t="s">
        <v>771</v>
      </c>
      <c r="C102" s="565">
        <f>135639000-21600000</f>
        <v>114039000</v>
      </c>
    </row>
    <row r="103" spans="1:3" ht="12.75" thickBot="1">
      <c r="A103" s="478" t="s">
        <v>5</v>
      </c>
      <c r="B103" s="567" t="s">
        <v>776</v>
      </c>
      <c r="C103" s="565">
        <v>0</v>
      </c>
    </row>
    <row r="104" spans="1:6" ht="12.75" thickBot="1">
      <c r="A104" s="588" t="s">
        <v>767</v>
      </c>
      <c r="B104" s="571" t="s">
        <v>772</v>
      </c>
      <c r="C104" s="570">
        <f>SUM(C102:C103)</f>
        <v>114039000</v>
      </c>
      <c r="E104" s="937">
        <f>+'1.mell._Össz_Mérleg2014'!C18</f>
        <v>114039</v>
      </c>
      <c r="F104" s="937">
        <f>+ROUND(C104/1000,0)-E104</f>
        <v>0</v>
      </c>
    </row>
    <row r="105" spans="1:3" ht="12.75" thickBot="1">
      <c r="A105" s="588"/>
      <c r="B105" s="571"/>
      <c r="C105" s="570"/>
    </row>
    <row r="106" spans="1:6" ht="12.75" thickBot="1">
      <c r="A106" s="588" t="s">
        <v>775</v>
      </c>
      <c r="B106" s="571" t="s">
        <v>774</v>
      </c>
      <c r="C106" s="570">
        <f>+C66+C99+C104</f>
        <v>879196478</v>
      </c>
      <c r="E106" s="937">
        <f>+'1.mell._Össz_Mérleg2014'!C12+'1.mell._Össz_Mérleg2014'!C49</f>
        <v>879197</v>
      </c>
      <c r="F106" s="937">
        <f>+ROUND(C106/1000,0)-E106</f>
        <v>-1</v>
      </c>
    </row>
    <row r="108" ht="12">
      <c r="E108" s="937"/>
    </row>
  </sheetData>
  <sheetProtection/>
  <mergeCells count="4">
    <mergeCell ref="A3:C3"/>
    <mergeCell ref="A8:C8"/>
    <mergeCell ref="A68:C68"/>
    <mergeCell ref="A101:C101"/>
  </mergeCells>
  <printOptions/>
  <pageMargins left="0.7086614173228347" right="0.7086614173228347" top="0.44" bottom="0.7480314960629921" header="0.31496062992125984" footer="0.31496062992125984"/>
  <pageSetup fitToHeight="1" fitToWidth="1" horizontalDpi="600" verticalDpi="600" orientation="portrait" paperSize="9" scale="5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64"/>
  <sheetViews>
    <sheetView zoomScale="90" zoomScaleNormal="90" zoomScalePageLayoutView="0" workbookViewId="0" topLeftCell="A1">
      <selection activeCell="G1" sqref="G1"/>
    </sheetView>
  </sheetViews>
  <sheetFormatPr defaultColWidth="68.875" defaultRowHeight="12.75"/>
  <cols>
    <col min="1" max="1" width="87.125" style="217" bestFit="1" customWidth="1"/>
    <col min="2" max="3" width="10.25390625" style="217" customWidth="1"/>
    <col min="4" max="4" width="10.625" style="217" customWidth="1"/>
    <col min="5" max="7" width="10.25390625" style="217" customWidth="1"/>
    <col min="8" max="8" width="9.25390625" style="217" customWidth="1"/>
    <col min="9" max="10" width="9.25390625" style="217" hidden="1" customWidth="1"/>
    <col min="11" max="45" width="9.25390625" style="217" customWidth="1"/>
    <col min="46" max="16384" width="68.875" style="217" customWidth="1"/>
  </cols>
  <sheetData>
    <row r="1" spans="1:7" s="219" customFormat="1" ht="15.75">
      <c r="A1" s="637"/>
      <c r="B1" s="638"/>
      <c r="C1" s="638"/>
      <c r="D1" s="638"/>
      <c r="E1" s="638"/>
      <c r="F1" s="638"/>
      <c r="G1" s="223" t="s">
        <v>1416</v>
      </c>
    </row>
    <row r="2" spans="1:7" s="219" customFormat="1" ht="15.75">
      <c r="A2" s="637"/>
      <c r="B2" s="638"/>
      <c r="C2" s="638"/>
      <c r="D2" s="638"/>
      <c r="E2" s="638"/>
      <c r="F2" s="638"/>
      <c r="G2" s="223"/>
    </row>
    <row r="3" spans="1:7" s="219" customFormat="1" ht="15.75">
      <c r="A3" s="1358" t="s">
        <v>382</v>
      </c>
      <c r="B3" s="1358"/>
      <c r="C3" s="1358"/>
      <c r="D3" s="1358"/>
      <c r="E3" s="1358"/>
      <c r="F3" s="1358"/>
      <c r="G3" s="1358"/>
    </row>
    <row r="4" spans="1:7" s="219" customFormat="1" ht="15.75">
      <c r="A4" s="1358" t="s">
        <v>1077</v>
      </c>
      <c r="B4" s="1358"/>
      <c r="C4" s="1358"/>
      <c r="D4" s="1358"/>
      <c r="E4" s="1358"/>
      <c r="F4" s="1358"/>
      <c r="G4" s="1358"/>
    </row>
    <row r="5" spans="1:7" ht="12.75" thickBot="1">
      <c r="A5" s="209"/>
      <c r="B5" s="209"/>
      <c r="C5" s="209"/>
      <c r="D5" s="209"/>
      <c r="E5" s="209"/>
      <c r="F5" s="1359" t="s">
        <v>77</v>
      </c>
      <c r="G5" s="1359"/>
    </row>
    <row r="6" spans="1:7" ht="48.75" thickBot="1">
      <c r="A6" s="617" t="s">
        <v>816</v>
      </c>
      <c r="B6" s="618" t="s">
        <v>798</v>
      </c>
      <c r="C6" s="618" t="s">
        <v>778</v>
      </c>
      <c r="D6" s="619" t="s">
        <v>795</v>
      </c>
      <c r="E6" s="234" t="s">
        <v>419</v>
      </c>
      <c r="F6" s="640" t="s">
        <v>796</v>
      </c>
      <c r="G6" s="620" t="s">
        <v>797</v>
      </c>
    </row>
    <row r="7" spans="1:7" ht="12.75" thickBot="1">
      <c r="A7" s="616">
        <v>1</v>
      </c>
      <c r="B7" s="615">
        <v>2</v>
      </c>
      <c r="C7" s="615">
        <v>3</v>
      </c>
      <c r="D7" s="614">
        <v>4</v>
      </c>
      <c r="E7" s="642">
        <v>5</v>
      </c>
      <c r="F7" s="641">
        <v>6</v>
      </c>
      <c r="G7" s="613" t="s">
        <v>779</v>
      </c>
    </row>
    <row r="8" spans="1:7" ht="12">
      <c r="A8" s="612" t="s">
        <v>785</v>
      </c>
      <c r="B8" s="611"/>
      <c r="C8" s="611"/>
      <c r="D8" s="610"/>
      <c r="E8" s="643"/>
      <c r="F8" s="609"/>
      <c r="G8" s="647"/>
    </row>
    <row r="9" spans="1:7" ht="12">
      <c r="A9" s="655" t="s">
        <v>1295</v>
      </c>
      <c r="B9" s="409"/>
      <c r="C9" s="608"/>
      <c r="D9" s="407"/>
      <c r="E9" s="375">
        <f>1000*1.27</f>
        <v>1270</v>
      </c>
      <c r="F9" s="607"/>
      <c r="G9" s="606"/>
    </row>
    <row r="10" spans="1:7" ht="12">
      <c r="A10" s="655" t="s">
        <v>1323</v>
      </c>
      <c r="B10" s="409"/>
      <c r="C10" s="608"/>
      <c r="D10" s="407"/>
      <c r="E10" s="375">
        <f>1000*1.27</f>
        <v>1270</v>
      </c>
      <c r="F10" s="607"/>
      <c r="G10" s="606"/>
    </row>
    <row r="11" spans="1:7" ht="12">
      <c r="A11" s="655" t="s">
        <v>1296</v>
      </c>
      <c r="B11" s="409"/>
      <c r="C11" s="608"/>
      <c r="D11" s="407"/>
      <c r="E11" s="375">
        <v>1000</v>
      </c>
      <c r="F11" s="607"/>
      <c r="G11" s="606"/>
    </row>
    <row r="12" spans="1:7" ht="12.75" thickBot="1">
      <c r="A12" s="655" t="s">
        <v>1390</v>
      </c>
      <c r="B12" s="409"/>
      <c r="C12" s="608"/>
      <c r="D12" s="407"/>
      <c r="E12" s="375">
        <v>5200</v>
      </c>
      <c r="F12" s="607"/>
      <c r="G12" s="606"/>
    </row>
    <row r="13" spans="1:7" ht="12.75" thickBot="1">
      <c r="A13" s="605" t="s">
        <v>786</v>
      </c>
      <c r="B13" s="421">
        <f>+B9+B10+B11+B12</f>
        <v>0</v>
      </c>
      <c r="C13" s="604" t="s">
        <v>38</v>
      </c>
      <c r="D13" s="419">
        <f>+D9+D10+D11+D12</f>
        <v>0</v>
      </c>
      <c r="E13" s="417">
        <f>+E9+E10+E11+E12</f>
        <v>8740</v>
      </c>
      <c r="F13" s="621">
        <f>+F9+F10+F11+F12</f>
        <v>0</v>
      </c>
      <c r="G13" s="396">
        <f>+G9+G10+G11+G12</f>
        <v>0</v>
      </c>
    </row>
    <row r="14" spans="1:7" ht="12">
      <c r="A14" s="612" t="s">
        <v>793</v>
      </c>
      <c r="B14" s="611"/>
      <c r="C14" s="611"/>
      <c r="D14" s="610"/>
      <c r="E14" s="643"/>
      <c r="F14" s="609"/>
      <c r="G14" s="647"/>
    </row>
    <row r="15" spans="1:7" ht="12.75" thickBot="1">
      <c r="A15" s="655" t="s">
        <v>38</v>
      </c>
      <c r="B15" s="409"/>
      <c r="C15" s="608"/>
      <c r="D15" s="407"/>
      <c r="E15" s="375"/>
      <c r="F15" s="607"/>
      <c r="G15" s="606"/>
    </row>
    <row r="16" spans="1:7" ht="12.75" thickBot="1">
      <c r="A16" s="605" t="s">
        <v>794</v>
      </c>
      <c r="B16" s="421">
        <f>+B15</f>
        <v>0</v>
      </c>
      <c r="C16" s="604" t="s">
        <v>38</v>
      </c>
      <c r="D16" s="419">
        <f>+D15</f>
        <v>0</v>
      </c>
      <c r="E16" s="417">
        <f>+E15</f>
        <v>0</v>
      </c>
      <c r="F16" s="621">
        <f>+F15</f>
        <v>0</v>
      </c>
      <c r="G16" s="396">
        <f>+G15</f>
        <v>0</v>
      </c>
    </row>
    <row r="17" spans="1:7" ht="12">
      <c r="A17" s="612" t="s">
        <v>787</v>
      </c>
      <c r="B17" s="611"/>
      <c r="C17" s="611"/>
      <c r="D17" s="610"/>
      <c r="E17" s="643"/>
      <c r="F17" s="609"/>
      <c r="G17" s="647"/>
    </row>
    <row r="18" spans="1:7" ht="12">
      <c r="A18" s="655" t="s">
        <v>1094</v>
      </c>
      <c r="B18" s="409"/>
      <c r="C18" s="608"/>
      <c r="D18" s="407"/>
      <c r="E18" s="375">
        <v>4000</v>
      </c>
      <c r="F18" s="607"/>
      <c r="G18" s="606"/>
    </row>
    <row r="19" spans="1:7" ht="12.75" thickBot="1">
      <c r="A19" s="655" t="s">
        <v>1093</v>
      </c>
      <c r="B19" s="409"/>
      <c r="C19" s="608"/>
      <c r="D19" s="407"/>
      <c r="E19" s="375">
        <v>20000</v>
      </c>
      <c r="F19" s="607"/>
      <c r="G19" s="606"/>
    </row>
    <row r="20" spans="1:7" ht="12.75" thickBot="1">
      <c r="A20" s="605" t="s">
        <v>788</v>
      </c>
      <c r="B20" s="421">
        <f>+B18+B19</f>
        <v>0</v>
      </c>
      <c r="C20" s="604" t="s">
        <v>38</v>
      </c>
      <c r="D20" s="419">
        <f>+D18+D19</f>
        <v>0</v>
      </c>
      <c r="E20" s="417">
        <f>+E18+E19</f>
        <v>24000</v>
      </c>
      <c r="F20" s="621">
        <f>+F18+F19</f>
        <v>0</v>
      </c>
      <c r="G20" s="396">
        <f>+G18+G19</f>
        <v>0</v>
      </c>
    </row>
    <row r="21" spans="1:7" ht="12">
      <c r="A21" s="612" t="s">
        <v>789</v>
      </c>
      <c r="B21" s="611"/>
      <c r="C21" s="611"/>
      <c r="D21" s="610"/>
      <c r="E21" s="643"/>
      <c r="F21" s="609"/>
      <c r="G21" s="647"/>
    </row>
    <row r="22" spans="1:7" ht="12.75" thickBot="1">
      <c r="A22" s="655" t="s">
        <v>38</v>
      </c>
      <c r="B22" s="409"/>
      <c r="C22" s="608"/>
      <c r="D22" s="407"/>
      <c r="E22" s="375"/>
      <c r="F22" s="607"/>
      <c r="G22" s="606"/>
    </row>
    <row r="23" spans="1:7" ht="12.75" thickBot="1">
      <c r="A23" s="605" t="s">
        <v>790</v>
      </c>
      <c r="B23" s="421">
        <f>+B22</f>
        <v>0</v>
      </c>
      <c r="C23" s="604" t="s">
        <v>38</v>
      </c>
      <c r="D23" s="419">
        <f>+D22</f>
        <v>0</v>
      </c>
      <c r="E23" s="417">
        <f>+E22</f>
        <v>0</v>
      </c>
      <c r="F23" s="621">
        <f>+F22</f>
        <v>0</v>
      </c>
      <c r="G23" s="396">
        <f>+G22</f>
        <v>0</v>
      </c>
    </row>
    <row r="24" spans="1:7" ht="12">
      <c r="A24" s="622" t="s">
        <v>809</v>
      </c>
      <c r="B24" s="372"/>
      <c r="C24" s="623"/>
      <c r="D24" s="624"/>
      <c r="E24" s="644"/>
      <c r="F24" s="625"/>
      <c r="G24" s="626"/>
    </row>
    <row r="25" spans="1:7" ht="12.75" thickBot="1">
      <c r="A25" s="655" t="s">
        <v>599</v>
      </c>
      <c r="B25" s="409"/>
      <c r="C25" s="608"/>
      <c r="D25" s="407"/>
      <c r="E25" s="375">
        <v>64039</v>
      </c>
      <c r="F25" s="607"/>
      <c r="G25" s="606"/>
    </row>
    <row r="26" spans="1:10" ht="12.75" thickBot="1">
      <c r="A26" s="605" t="s">
        <v>810</v>
      </c>
      <c r="B26" s="421">
        <f>+B25</f>
        <v>0</v>
      </c>
      <c r="C26" s="604" t="s">
        <v>38</v>
      </c>
      <c r="D26" s="419">
        <f>+D25</f>
        <v>0</v>
      </c>
      <c r="E26" s="417">
        <f>+E25</f>
        <v>64039</v>
      </c>
      <c r="F26" s="621">
        <f>+F25</f>
        <v>0</v>
      </c>
      <c r="G26" s="396">
        <f>+G25</f>
        <v>0</v>
      </c>
      <c r="I26" s="936">
        <f>+'1.mell._Össz_Mérleg2014'!C141</f>
        <v>64039</v>
      </c>
      <c r="J26" s="936">
        <f>+E26-I26</f>
        <v>0</v>
      </c>
    </row>
    <row r="27" spans="1:7" ht="12.75" thickBot="1">
      <c r="A27" s="627"/>
      <c r="B27" s="628"/>
      <c r="C27" s="629"/>
      <c r="D27" s="630"/>
      <c r="E27" s="645"/>
      <c r="F27" s="631"/>
      <c r="G27" s="632"/>
    </row>
    <row r="28" spans="1:10" ht="12.75" thickBot="1">
      <c r="A28" s="656" t="s">
        <v>799</v>
      </c>
      <c r="B28" s="633">
        <f>+B13+B16+B20+B23+B26</f>
        <v>0</v>
      </c>
      <c r="C28" s="604" t="s">
        <v>38</v>
      </c>
      <c r="D28" s="633">
        <f>+D13+D16+D20+D23+D26</f>
        <v>0</v>
      </c>
      <c r="E28" s="646">
        <f>+E13+E16+E20+E23+E26</f>
        <v>96779</v>
      </c>
      <c r="F28" s="635">
        <f>+F13+F16+F20+F23+F26</f>
        <v>0</v>
      </c>
      <c r="G28" s="634">
        <f>+G13+G16+G20+G23+G26</f>
        <v>0</v>
      </c>
      <c r="I28" s="936">
        <f>+'1.mell._Össz_Mérleg2014'!C140</f>
        <v>96779</v>
      </c>
      <c r="J28" s="936">
        <f>+E28-I28</f>
        <v>0</v>
      </c>
    </row>
    <row r="29" spans="1:7" ht="12.75" thickBot="1">
      <c r="A29" s="657"/>
      <c r="B29" s="648"/>
      <c r="C29" s="649"/>
      <c r="D29" s="648"/>
      <c r="E29" s="648"/>
      <c r="F29" s="648"/>
      <c r="G29" s="648"/>
    </row>
    <row r="30" spans="1:7" ht="12">
      <c r="A30" s="658" t="s">
        <v>780</v>
      </c>
      <c r="B30" s="650"/>
      <c r="C30" s="650"/>
      <c r="D30" s="651"/>
      <c r="E30" s="652"/>
      <c r="F30" s="653"/>
      <c r="G30" s="654"/>
    </row>
    <row r="31" spans="1:7" ht="12.75" thickBot="1">
      <c r="A31" s="655" t="s">
        <v>38</v>
      </c>
      <c r="B31" s="409"/>
      <c r="C31" s="608"/>
      <c r="D31" s="407"/>
      <c r="E31" s="375"/>
      <c r="F31" s="607"/>
      <c r="G31" s="606"/>
    </row>
    <row r="32" spans="1:7" ht="12.75" thickBot="1">
      <c r="A32" s="605" t="s">
        <v>781</v>
      </c>
      <c r="B32" s="421">
        <f>+B31</f>
        <v>0</v>
      </c>
      <c r="C32" s="604" t="s">
        <v>38</v>
      </c>
      <c r="D32" s="419">
        <f>+D31</f>
        <v>0</v>
      </c>
      <c r="E32" s="417">
        <f>+E31</f>
        <v>0</v>
      </c>
      <c r="F32" s="621">
        <f>+F31</f>
        <v>0</v>
      </c>
      <c r="G32" s="396">
        <f>+G31</f>
        <v>0</v>
      </c>
    </row>
    <row r="33" spans="1:7" ht="12">
      <c r="A33" s="612" t="s">
        <v>791</v>
      </c>
      <c r="B33" s="611"/>
      <c r="C33" s="611"/>
      <c r="D33" s="610"/>
      <c r="E33" s="643"/>
      <c r="F33" s="609"/>
      <c r="G33" s="647"/>
    </row>
    <row r="34" spans="1:7" ht="12.75" thickBot="1">
      <c r="A34" s="655" t="s">
        <v>1092</v>
      </c>
      <c r="B34" s="409"/>
      <c r="C34" s="608"/>
      <c r="D34" s="407"/>
      <c r="E34" s="375">
        <v>15000</v>
      </c>
      <c r="F34" s="607"/>
      <c r="G34" s="606"/>
    </row>
    <row r="35" spans="1:7" ht="12.75" thickBot="1">
      <c r="A35" s="605" t="s">
        <v>792</v>
      </c>
      <c r="B35" s="421">
        <f>+B34</f>
        <v>0</v>
      </c>
      <c r="C35" s="604" t="s">
        <v>38</v>
      </c>
      <c r="D35" s="419">
        <f>+D34</f>
        <v>0</v>
      </c>
      <c r="E35" s="417">
        <f>+E34</f>
        <v>15000</v>
      </c>
      <c r="F35" s="621">
        <f>+F34</f>
        <v>0</v>
      </c>
      <c r="G35" s="396">
        <f>+G34</f>
        <v>0</v>
      </c>
    </row>
    <row r="36" spans="1:7" ht="12">
      <c r="A36" s="612" t="s">
        <v>782</v>
      </c>
      <c r="B36" s="611"/>
      <c r="C36" s="611"/>
      <c r="D36" s="610"/>
      <c r="E36" s="643"/>
      <c r="F36" s="609"/>
      <c r="G36" s="647"/>
    </row>
    <row r="37" spans="1:7" ht="12.75" thickBot="1">
      <c r="A37" s="655" t="s">
        <v>38</v>
      </c>
      <c r="B37" s="409"/>
      <c r="C37" s="608"/>
      <c r="D37" s="407"/>
      <c r="E37" s="375"/>
      <c r="F37" s="607"/>
      <c r="G37" s="606"/>
    </row>
    <row r="38" spans="1:7" ht="12.75" thickBot="1">
      <c r="A38" s="605" t="s">
        <v>783</v>
      </c>
      <c r="B38" s="421">
        <f>+B37</f>
        <v>0</v>
      </c>
      <c r="C38" s="604" t="s">
        <v>38</v>
      </c>
      <c r="D38" s="419">
        <f>+D37</f>
        <v>0</v>
      </c>
      <c r="E38" s="417">
        <f>+E37</f>
        <v>0</v>
      </c>
      <c r="F38" s="621">
        <f>+F37</f>
        <v>0</v>
      </c>
      <c r="G38" s="396">
        <f>+G37</f>
        <v>0</v>
      </c>
    </row>
    <row r="39" spans="1:7" ht="12">
      <c r="A39" s="612" t="s">
        <v>784</v>
      </c>
      <c r="B39" s="611"/>
      <c r="C39" s="611"/>
      <c r="D39" s="610"/>
      <c r="E39" s="643"/>
      <c r="F39" s="609"/>
      <c r="G39" s="647"/>
    </row>
    <row r="40" spans="1:7" ht="12.75" thickBot="1">
      <c r="A40" s="655" t="s">
        <v>38</v>
      </c>
      <c r="B40" s="409"/>
      <c r="C40" s="608"/>
      <c r="D40" s="407"/>
      <c r="E40" s="375"/>
      <c r="F40" s="607"/>
      <c r="G40" s="606"/>
    </row>
    <row r="41" spans="1:7" ht="12.75" thickBot="1">
      <c r="A41" s="605" t="s">
        <v>784</v>
      </c>
      <c r="B41" s="421">
        <f>+B40</f>
        <v>0</v>
      </c>
      <c r="C41" s="604" t="s">
        <v>38</v>
      </c>
      <c r="D41" s="419">
        <f>+D40</f>
        <v>0</v>
      </c>
      <c r="E41" s="417">
        <f>+E40</f>
        <v>0</v>
      </c>
      <c r="F41" s="621">
        <f>+F40</f>
        <v>0</v>
      </c>
      <c r="G41" s="396">
        <f>+G40</f>
        <v>0</v>
      </c>
    </row>
    <row r="42" spans="1:7" ht="12">
      <c r="A42" s="622" t="s">
        <v>811</v>
      </c>
      <c r="B42" s="372"/>
      <c r="C42" s="623"/>
      <c r="D42" s="624"/>
      <c r="E42" s="644"/>
      <c r="F42" s="625"/>
      <c r="G42" s="626"/>
    </row>
    <row r="43" spans="1:7" ht="12.75" thickBot="1">
      <c r="A43" s="655" t="s">
        <v>38</v>
      </c>
      <c r="B43" s="409"/>
      <c r="C43" s="608"/>
      <c r="D43" s="407"/>
      <c r="E43" s="375"/>
      <c r="F43" s="607"/>
      <c r="G43" s="606"/>
    </row>
    <row r="44" spans="1:10" ht="12.75" thickBot="1">
      <c r="A44" s="605" t="s">
        <v>812</v>
      </c>
      <c r="B44" s="421">
        <f>+B43</f>
        <v>0</v>
      </c>
      <c r="C44" s="604" t="s">
        <v>38</v>
      </c>
      <c r="D44" s="419">
        <f>+D43</f>
        <v>0</v>
      </c>
      <c r="E44" s="417">
        <f>+E43</f>
        <v>0</v>
      </c>
      <c r="F44" s="621">
        <f>+F43</f>
        <v>0</v>
      </c>
      <c r="G44" s="396">
        <f>+G43</f>
        <v>0</v>
      </c>
      <c r="I44" s="936">
        <f>+'1.mell._Össz_Mérleg2014'!C150</f>
        <v>0</v>
      </c>
      <c r="J44" s="936">
        <f>+E44-I44</f>
        <v>0</v>
      </c>
    </row>
    <row r="45" spans="1:7" ht="12.75" thickBot="1">
      <c r="A45" s="627"/>
      <c r="B45" s="628"/>
      <c r="C45" s="629"/>
      <c r="D45" s="630"/>
      <c r="E45" s="645"/>
      <c r="F45" s="631"/>
      <c r="G45" s="632"/>
    </row>
    <row r="46" spans="1:10" ht="12.75" thickBot="1">
      <c r="A46" s="656" t="s">
        <v>800</v>
      </c>
      <c r="B46" s="633">
        <f>+B32+B35+B38+B41+B44</f>
        <v>0</v>
      </c>
      <c r="C46" s="604" t="s">
        <v>38</v>
      </c>
      <c r="D46" s="633">
        <f>+D32+D35+D38+D41+D44</f>
        <v>0</v>
      </c>
      <c r="E46" s="646">
        <f>+E32+E35+E38+E41+E44</f>
        <v>15000</v>
      </c>
      <c r="F46" s="635">
        <f>+F32+F35+F38+F41+F44</f>
        <v>0</v>
      </c>
      <c r="G46" s="634">
        <f>+G32+G35+G38+G41+G44</f>
        <v>0</v>
      </c>
      <c r="I46" s="936">
        <f>+'1.mell._Össz_Mérleg2014'!C149</f>
        <v>15000</v>
      </c>
      <c r="J46" s="936">
        <f>+E46-I46</f>
        <v>0</v>
      </c>
    </row>
    <row r="47" spans="1:7" ht="12.75" thickBot="1">
      <c r="A47" s="636"/>
      <c r="B47" s="636"/>
      <c r="C47" s="636"/>
      <c r="D47" s="636"/>
      <c r="E47" s="636"/>
      <c r="F47" s="636"/>
      <c r="G47" s="639"/>
    </row>
    <row r="48" spans="1:7" ht="12">
      <c r="A48" s="612" t="s">
        <v>801</v>
      </c>
      <c r="B48" s="611"/>
      <c r="C48" s="611"/>
      <c r="D48" s="610"/>
      <c r="E48" s="643"/>
      <c r="F48" s="609"/>
      <c r="G48" s="647"/>
    </row>
    <row r="49" spans="1:7" ht="12.75" thickBot="1">
      <c r="A49" s="655" t="s">
        <v>38</v>
      </c>
      <c r="B49" s="409"/>
      <c r="C49" s="608"/>
      <c r="D49" s="407"/>
      <c r="E49" s="375"/>
      <c r="F49" s="607"/>
      <c r="G49" s="606"/>
    </row>
    <row r="50" spans="1:7" ht="12.75" thickBot="1">
      <c r="A50" s="605" t="s">
        <v>802</v>
      </c>
      <c r="B50" s="421">
        <f>+B49</f>
        <v>0</v>
      </c>
      <c r="C50" s="604" t="s">
        <v>38</v>
      </c>
      <c r="D50" s="419">
        <f>+D49</f>
        <v>0</v>
      </c>
      <c r="E50" s="417">
        <f>+E49</f>
        <v>0</v>
      </c>
      <c r="F50" s="621">
        <f>+F49</f>
        <v>0</v>
      </c>
      <c r="G50" s="396">
        <f>+G49</f>
        <v>0</v>
      </c>
    </row>
    <row r="51" spans="1:7" ht="12">
      <c r="A51" s="612" t="s">
        <v>803</v>
      </c>
      <c r="B51" s="611"/>
      <c r="C51" s="611"/>
      <c r="D51" s="610"/>
      <c r="E51" s="643"/>
      <c r="F51" s="609"/>
      <c r="G51" s="647"/>
    </row>
    <row r="52" spans="1:7" ht="12.75" thickBot="1">
      <c r="A52" s="655" t="s">
        <v>38</v>
      </c>
      <c r="B52" s="409"/>
      <c r="C52" s="608"/>
      <c r="D52" s="407"/>
      <c r="E52" s="375"/>
      <c r="F52" s="607"/>
      <c r="G52" s="606"/>
    </row>
    <row r="53" spans="1:7" ht="12.75" thickBot="1">
      <c r="A53" s="605" t="s">
        <v>804</v>
      </c>
      <c r="B53" s="421">
        <f>+B52</f>
        <v>0</v>
      </c>
      <c r="C53" s="604" t="s">
        <v>38</v>
      </c>
      <c r="D53" s="419">
        <f>+D52</f>
        <v>0</v>
      </c>
      <c r="E53" s="417">
        <f>+E52</f>
        <v>0</v>
      </c>
      <c r="F53" s="621">
        <f>+F52</f>
        <v>0</v>
      </c>
      <c r="G53" s="396">
        <f>+G52</f>
        <v>0</v>
      </c>
    </row>
    <row r="54" spans="1:7" ht="12">
      <c r="A54" s="612" t="s">
        <v>805</v>
      </c>
      <c r="B54" s="611"/>
      <c r="C54" s="611"/>
      <c r="D54" s="610"/>
      <c r="E54" s="643"/>
      <c r="F54" s="609"/>
      <c r="G54" s="647"/>
    </row>
    <row r="55" spans="1:7" ht="12.75" thickBot="1">
      <c r="A55" s="655" t="s">
        <v>38</v>
      </c>
      <c r="B55" s="409"/>
      <c r="C55" s="608"/>
      <c r="D55" s="407"/>
      <c r="E55" s="375"/>
      <c r="F55" s="607"/>
      <c r="G55" s="606"/>
    </row>
    <row r="56" spans="1:7" ht="12.75" thickBot="1">
      <c r="A56" s="605" t="s">
        <v>806</v>
      </c>
      <c r="B56" s="421">
        <f>+B55</f>
        <v>0</v>
      </c>
      <c r="C56" s="604" t="s">
        <v>38</v>
      </c>
      <c r="D56" s="419">
        <f>+D55</f>
        <v>0</v>
      </c>
      <c r="E56" s="417">
        <f>+E55</f>
        <v>0</v>
      </c>
      <c r="F56" s="621">
        <f>+F55</f>
        <v>0</v>
      </c>
      <c r="G56" s="396">
        <f>+G55</f>
        <v>0</v>
      </c>
    </row>
    <row r="57" spans="1:7" ht="12">
      <c r="A57" s="612" t="s">
        <v>807</v>
      </c>
      <c r="B57" s="611"/>
      <c r="C57" s="611"/>
      <c r="D57" s="610"/>
      <c r="E57" s="643"/>
      <c r="F57" s="609"/>
      <c r="G57" s="647"/>
    </row>
    <row r="58" spans="1:7" ht="12.75" thickBot="1">
      <c r="A58" s="655" t="s">
        <v>38</v>
      </c>
      <c r="B58" s="409"/>
      <c r="C58" s="608"/>
      <c r="D58" s="407"/>
      <c r="E58" s="375"/>
      <c r="F58" s="607"/>
      <c r="G58" s="606"/>
    </row>
    <row r="59" spans="1:7" ht="12.75" thickBot="1">
      <c r="A59" s="605" t="s">
        <v>808</v>
      </c>
      <c r="B59" s="421">
        <f>+B58</f>
        <v>0</v>
      </c>
      <c r="C59" s="604" t="s">
        <v>38</v>
      </c>
      <c r="D59" s="419">
        <f>+D58</f>
        <v>0</v>
      </c>
      <c r="E59" s="417">
        <f>+E58</f>
        <v>0</v>
      </c>
      <c r="F59" s="621">
        <f>+F58</f>
        <v>0</v>
      </c>
      <c r="G59" s="396">
        <f>+G58</f>
        <v>0</v>
      </c>
    </row>
    <row r="60" spans="1:7" ht="12">
      <c r="A60" s="622" t="s">
        <v>813</v>
      </c>
      <c r="B60" s="372"/>
      <c r="C60" s="623"/>
      <c r="D60" s="624"/>
      <c r="E60" s="644"/>
      <c r="F60" s="625"/>
      <c r="G60" s="626"/>
    </row>
    <row r="61" spans="1:7" ht="12.75" thickBot="1">
      <c r="A61" s="655" t="s">
        <v>38</v>
      </c>
      <c r="B61" s="409"/>
      <c r="C61" s="608"/>
      <c r="D61" s="407"/>
      <c r="E61" s="375"/>
      <c r="F61" s="607"/>
      <c r="G61" s="606"/>
    </row>
    <row r="62" spans="1:10" ht="12.75" thickBot="1">
      <c r="A62" s="605" t="s">
        <v>814</v>
      </c>
      <c r="B62" s="421">
        <f>+B61</f>
        <v>0</v>
      </c>
      <c r="C62" s="604" t="s">
        <v>38</v>
      </c>
      <c r="D62" s="419">
        <f>+D61</f>
        <v>0</v>
      </c>
      <c r="E62" s="417">
        <f>+E61</f>
        <v>0</v>
      </c>
      <c r="F62" s="621">
        <f>+F61</f>
        <v>0</v>
      </c>
      <c r="G62" s="396">
        <f>+G61</f>
        <v>0</v>
      </c>
      <c r="I62" s="936">
        <f>+'1.mell._Össz_Mérleg2014'!C160</f>
        <v>0</v>
      </c>
      <c r="J62" s="936">
        <f>+E62-I62</f>
        <v>0</v>
      </c>
    </row>
    <row r="63" spans="1:7" ht="12.75" thickBot="1">
      <c r="A63" s="627"/>
      <c r="B63" s="628"/>
      <c r="C63" s="629"/>
      <c r="D63" s="630"/>
      <c r="E63" s="645"/>
      <c r="F63" s="631"/>
      <c r="G63" s="632"/>
    </row>
    <row r="64" spans="1:10" ht="12.75" thickBot="1">
      <c r="A64" s="656" t="s">
        <v>815</v>
      </c>
      <c r="B64" s="633">
        <f>+B50+B53+B56+B59+B62</f>
        <v>0</v>
      </c>
      <c r="C64" s="604" t="s">
        <v>38</v>
      </c>
      <c r="D64" s="633">
        <f>+D50+D53+D56+D59+D62</f>
        <v>0</v>
      </c>
      <c r="E64" s="646">
        <f>+E50+E53+E56+E59+E62</f>
        <v>0</v>
      </c>
      <c r="F64" s="635">
        <f>+F50+F53+F56+F59+F62</f>
        <v>0</v>
      </c>
      <c r="G64" s="634">
        <f>+G50+G53+G56+G59+G62</f>
        <v>0</v>
      </c>
      <c r="I64" s="936">
        <f>+'1.mell._Össz_Mérleg2014'!C155</f>
        <v>0</v>
      </c>
      <c r="J64" s="936">
        <f>+E64-I64</f>
        <v>0</v>
      </c>
    </row>
  </sheetData>
  <sheetProtection/>
  <mergeCells count="3">
    <mergeCell ref="A4:G4"/>
    <mergeCell ref="F5:G5"/>
    <mergeCell ref="A3:G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H32"/>
  <sheetViews>
    <sheetView zoomScalePageLayoutView="0" workbookViewId="0" topLeftCell="A1">
      <selection activeCell="D1" sqref="D1"/>
    </sheetView>
  </sheetViews>
  <sheetFormatPr defaultColWidth="9.00390625" defaultRowHeight="12.75"/>
  <cols>
    <col min="1" max="1" width="4.875" style="935" bestFit="1" customWidth="1"/>
    <col min="2" max="2" width="57.625" style="217" bestFit="1" customWidth="1"/>
    <col min="3" max="3" width="28.625" style="217" bestFit="1" customWidth="1"/>
    <col min="4" max="4" width="13.125" style="217" bestFit="1" customWidth="1"/>
    <col min="5" max="5" width="0" style="217" hidden="1" customWidth="1"/>
    <col min="6" max="7" width="9.125" style="217" hidden="1" customWidth="1"/>
    <col min="8" max="16384" width="9.125" style="217" customWidth="1"/>
  </cols>
  <sheetData>
    <row r="1" spans="1:4" s="218" customFormat="1" ht="15.75">
      <c r="A1" s="661"/>
      <c r="B1" s="208"/>
      <c r="C1" s="208"/>
      <c r="D1" s="223" t="s">
        <v>1417</v>
      </c>
    </row>
    <row r="2" spans="1:7" s="218" customFormat="1" ht="15.75" customHeight="1">
      <c r="A2" s="1358" t="s">
        <v>411</v>
      </c>
      <c r="B2" s="1358"/>
      <c r="C2" s="1358"/>
      <c r="D2" s="1358"/>
      <c r="E2" s="638"/>
      <c r="F2" s="638"/>
      <c r="G2" s="638"/>
    </row>
    <row r="3" spans="1:4" s="219" customFormat="1" ht="15.75">
      <c r="A3" s="1360" t="s">
        <v>1078</v>
      </c>
      <c r="B3" s="1360"/>
      <c r="C3" s="1360"/>
      <c r="D3" s="1360"/>
    </row>
    <row r="4" spans="1:4" ht="12.75" thickBot="1">
      <c r="A4" s="669"/>
      <c r="B4" s="669"/>
      <c r="C4" s="669"/>
      <c r="D4" s="481" t="s">
        <v>543</v>
      </c>
    </row>
    <row r="5" spans="1:4" ht="24.75" thickBot="1">
      <c r="A5" s="670" t="s">
        <v>8</v>
      </c>
      <c r="B5" s="680" t="s">
        <v>817</v>
      </c>
      <c r="C5" s="673" t="s">
        <v>818</v>
      </c>
      <c r="D5" s="234" t="s">
        <v>419</v>
      </c>
    </row>
    <row r="6" spans="1:4" s="934" customFormat="1" ht="12">
      <c r="A6" s="672"/>
      <c r="B6" s="681" t="s">
        <v>0</v>
      </c>
      <c r="C6" s="678"/>
      <c r="D6" s="679"/>
    </row>
    <row r="7" spans="1:4" ht="12">
      <c r="A7" s="660" t="s">
        <v>4</v>
      </c>
      <c r="B7" s="682" t="s">
        <v>819</v>
      </c>
      <c r="C7" s="668" t="s">
        <v>820</v>
      </c>
      <c r="D7" s="664">
        <v>400</v>
      </c>
    </row>
    <row r="8" spans="1:4" ht="12">
      <c r="A8" s="676" t="s">
        <v>5</v>
      </c>
      <c r="B8" s="683" t="s">
        <v>821</v>
      </c>
      <c r="C8" s="667" t="s">
        <v>820</v>
      </c>
      <c r="D8" s="663">
        <f>1456+9070</f>
        <v>10526</v>
      </c>
    </row>
    <row r="9" spans="1:4" ht="12.75" thickBot="1">
      <c r="A9" s="676" t="s">
        <v>6</v>
      </c>
      <c r="B9" s="683" t="s">
        <v>822</v>
      </c>
      <c r="C9" s="667" t="s">
        <v>820</v>
      </c>
      <c r="D9" s="663">
        <v>1000</v>
      </c>
    </row>
    <row r="10" spans="1:8" s="220" customFormat="1" ht="12.75" thickBot="1">
      <c r="A10" s="686" t="s">
        <v>42</v>
      </c>
      <c r="B10" s="690" t="s">
        <v>833</v>
      </c>
      <c r="C10" s="671"/>
      <c r="D10" s="254">
        <f>SUM(D7:D9)</f>
        <v>11926</v>
      </c>
      <c r="F10" s="936">
        <f>+'1.mell._Össz_Mérleg2014'!C129</f>
        <v>11926</v>
      </c>
      <c r="G10" s="936">
        <f>+D10-F10</f>
        <v>0</v>
      </c>
      <c r="H10" s="217"/>
    </row>
    <row r="11" spans="1:8" s="220" customFormat="1" ht="12">
      <c r="A11" s="687"/>
      <c r="B11" s="691"/>
      <c r="C11" s="674"/>
      <c r="D11" s="240"/>
      <c r="F11" s="217"/>
      <c r="G11" s="217"/>
      <c r="H11" s="217"/>
    </row>
    <row r="12" spans="1:4" ht="12">
      <c r="A12" s="693"/>
      <c r="B12" s="694" t="s">
        <v>1</v>
      </c>
      <c r="C12" s="695"/>
      <c r="D12" s="696"/>
    </row>
    <row r="13" spans="1:4" ht="12">
      <c r="A13" s="677" t="s">
        <v>4</v>
      </c>
      <c r="B13" s="684" t="s">
        <v>823</v>
      </c>
      <c r="C13" s="665" t="s">
        <v>824</v>
      </c>
      <c r="D13" s="662">
        <f>500-200</f>
        <v>300</v>
      </c>
    </row>
    <row r="14" spans="1:4" ht="12">
      <c r="A14" s="660" t="s">
        <v>5</v>
      </c>
      <c r="B14" s="682" t="s">
        <v>825</v>
      </c>
      <c r="C14" s="668" t="s">
        <v>824</v>
      </c>
      <c r="D14" s="664">
        <f>500-200</f>
        <v>300</v>
      </c>
    </row>
    <row r="15" spans="1:4" ht="12">
      <c r="A15" s="677" t="s">
        <v>6</v>
      </c>
      <c r="B15" s="682" t="s">
        <v>1391</v>
      </c>
      <c r="C15" s="668" t="s">
        <v>1400</v>
      </c>
      <c r="D15" s="664">
        <v>1400</v>
      </c>
    </row>
    <row r="16" spans="1:4" ht="12">
      <c r="A16" s="660" t="s">
        <v>3</v>
      </c>
      <c r="B16" s="682" t="s">
        <v>826</v>
      </c>
      <c r="C16" s="668" t="s">
        <v>820</v>
      </c>
      <c r="D16" s="664">
        <f>500-200</f>
        <v>300</v>
      </c>
    </row>
    <row r="17" spans="1:4" ht="12">
      <c r="A17" s="677" t="s">
        <v>16</v>
      </c>
      <c r="B17" s="682" t="s">
        <v>1299</v>
      </c>
      <c r="C17" s="668" t="s">
        <v>820</v>
      </c>
      <c r="D17" s="664"/>
    </row>
    <row r="18" spans="1:4" ht="12">
      <c r="A18" s="660" t="s">
        <v>15</v>
      </c>
      <c r="B18" s="682" t="s">
        <v>827</v>
      </c>
      <c r="C18" s="668" t="s">
        <v>820</v>
      </c>
      <c r="D18" s="664">
        <f>2100-600</f>
        <v>1500</v>
      </c>
    </row>
    <row r="19" spans="1:4" ht="12">
      <c r="A19" s="677" t="s">
        <v>14</v>
      </c>
      <c r="B19" s="682" t="s">
        <v>828</v>
      </c>
      <c r="C19" s="668" t="s">
        <v>820</v>
      </c>
      <c r="D19" s="664">
        <f>3000-1000</f>
        <v>2000</v>
      </c>
    </row>
    <row r="20" spans="1:4" ht="12">
      <c r="A20" s="660" t="s">
        <v>13</v>
      </c>
      <c r="B20" s="685" t="s">
        <v>829</v>
      </c>
      <c r="C20" s="668" t="s">
        <v>820</v>
      </c>
      <c r="D20" s="664">
        <f>500-200</f>
        <v>300</v>
      </c>
    </row>
    <row r="21" spans="1:4" ht="12.75" thickBot="1">
      <c r="A21" s="677" t="s">
        <v>12</v>
      </c>
      <c r="B21" s="682" t="s">
        <v>830</v>
      </c>
      <c r="C21" s="668" t="s">
        <v>831</v>
      </c>
      <c r="D21" s="664">
        <v>750</v>
      </c>
    </row>
    <row r="22" spans="1:7" ht="12.75" thickBot="1">
      <c r="A22" s="688" t="s">
        <v>41</v>
      </c>
      <c r="B22" s="690" t="s">
        <v>832</v>
      </c>
      <c r="C22" s="671"/>
      <c r="D22" s="254">
        <f>SUM(D13:D21)</f>
        <v>6850</v>
      </c>
      <c r="F22" s="936">
        <f>+'1.mell._Össz_Mérleg2014'!C135</f>
        <v>6850</v>
      </c>
      <c r="G22" s="936">
        <f>+D22-F22</f>
        <v>0</v>
      </c>
    </row>
    <row r="23" spans="1:8" s="220" customFormat="1" ht="12">
      <c r="A23" s="687"/>
      <c r="B23" s="691"/>
      <c r="C23" s="674"/>
      <c r="D23" s="240"/>
      <c r="F23" s="217"/>
      <c r="G23" s="217"/>
      <c r="H23" s="217"/>
    </row>
    <row r="24" spans="1:4" ht="12">
      <c r="A24" s="672"/>
      <c r="B24" s="681" t="s">
        <v>2</v>
      </c>
      <c r="C24" s="675"/>
      <c r="D24" s="659"/>
    </row>
    <row r="25" spans="1:4" ht="12.75" thickBot="1">
      <c r="A25" s="660" t="s">
        <v>4</v>
      </c>
      <c r="B25" s="682" t="s">
        <v>38</v>
      </c>
      <c r="C25" s="668"/>
      <c r="D25" s="664"/>
    </row>
    <row r="26" spans="1:7" ht="12.75" thickBot="1">
      <c r="A26" s="689" t="s">
        <v>40</v>
      </c>
      <c r="B26" s="690" t="s">
        <v>834</v>
      </c>
      <c r="C26" s="671"/>
      <c r="D26" s="254">
        <f>SUM(D25)</f>
        <v>0</v>
      </c>
      <c r="F26" s="936">
        <f>+'1.mell._Össz_Mérleg2014'!C159</f>
        <v>0</v>
      </c>
      <c r="G26" s="936">
        <f>+D26-F26</f>
        <v>0</v>
      </c>
    </row>
    <row r="27" spans="1:4" ht="12">
      <c r="A27" s="697"/>
      <c r="B27" s="691"/>
      <c r="C27" s="674"/>
      <c r="D27" s="240"/>
    </row>
    <row r="28" spans="1:4" ht="12">
      <c r="A28" s="693"/>
      <c r="B28" s="694" t="s">
        <v>835</v>
      </c>
      <c r="C28" s="695"/>
      <c r="D28" s="696"/>
    </row>
    <row r="29" spans="1:4" ht="12.75" thickBot="1">
      <c r="A29" s="677" t="s">
        <v>4</v>
      </c>
      <c r="B29" s="666" t="s">
        <v>38</v>
      </c>
      <c r="C29" s="692"/>
      <c r="D29" s="662"/>
    </row>
    <row r="30" spans="1:7" ht="12.75" thickBot="1">
      <c r="A30" s="688" t="s">
        <v>39</v>
      </c>
      <c r="B30" s="690" t="s">
        <v>836</v>
      </c>
      <c r="C30" s="671"/>
      <c r="D30" s="254">
        <f>SUM(D29)</f>
        <v>0</v>
      </c>
      <c r="F30" s="936">
        <f>+'1.mell._Össz_Mérleg2014'!C164</f>
        <v>0</v>
      </c>
      <c r="G30" s="936">
        <f>+D30-F30</f>
        <v>0</v>
      </c>
    </row>
    <row r="32" ht="12">
      <c r="A32" s="1042" t="s">
        <v>1300</v>
      </c>
    </row>
  </sheetData>
  <sheetProtection/>
  <mergeCells count="2">
    <mergeCell ref="A3:D3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Z160"/>
  <sheetViews>
    <sheetView zoomScale="80" zoomScaleNormal="80" zoomScalePageLayoutView="0" workbookViewId="0" topLeftCell="A1">
      <selection activeCell="A1" sqref="A1"/>
    </sheetView>
  </sheetViews>
  <sheetFormatPr defaultColWidth="10.625" defaultRowHeight="12.75"/>
  <cols>
    <col min="1" max="1" width="5.375" style="838" bestFit="1" customWidth="1"/>
    <col min="2" max="2" width="7.875" style="845" customWidth="1"/>
    <col min="3" max="3" width="75.25390625" style="715" customWidth="1"/>
    <col min="4" max="4" width="10.625" style="393" customWidth="1"/>
    <col min="5" max="5" width="65.25390625" style="393" customWidth="1"/>
    <col min="6" max="6" width="10.625" style="716" customWidth="1"/>
    <col min="7" max="7" width="11.25390625" style="717" customWidth="1"/>
    <col min="8" max="10" width="10.625" style="393" customWidth="1"/>
    <col min="11" max="11" width="11.625" style="393" customWidth="1"/>
    <col min="12" max="12" width="11.75390625" style="716" customWidth="1"/>
    <col min="13" max="14" width="10.625" style="393" customWidth="1"/>
    <col min="15" max="15" width="12.375" style="393" customWidth="1"/>
    <col min="16" max="17" width="10.625" style="393" customWidth="1"/>
    <col min="18" max="16384" width="10.625" style="393" customWidth="1"/>
  </cols>
  <sheetData>
    <row r="1" spans="1:17" s="391" customFormat="1" ht="15.75">
      <c r="A1" s="837"/>
      <c r="B1" s="844"/>
      <c r="C1" s="809"/>
      <c r="F1" s="700"/>
      <c r="G1" s="810"/>
      <c r="L1" s="700"/>
      <c r="P1" s="223"/>
      <c r="Q1" s="701"/>
    </row>
    <row r="2" spans="1:26" s="391" customFormat="1" ht="15.75">
      <c r="A2" s="1250" t="s">
        <v>1382</v>
      </c>
      <c r="B2" s="1250"/>
      <c r="C2" s="1250"/>
      <c r="D2" s="1250"/>
      <c r="E2" s="1250"/>
      <c r="F2" s="1250"/>
      <c r="G2" s="1250"/>
      <c r="H2" s="1250"/>
      <c r="I2" s="1250"/>
      <c r="J2" s="1250"/>
      <c r="K2" s="1250"/>
      <c r="L2" s="1250"/>
      <c r="M2" s="1250"/>
      <c r="N2" s="1250"/>
      <c r="O2" s="1250"/>
      <c r="P2" s="1250"/>
      <c r="Q2" s="1250"/>
      <c r="R2" s="1250"/>
      <c r="S2" s="1250"/>
      <c r="T2" s="1250"/>
      <c r="U2" s="1250"/>
      <c r="V2" s="1250"/>
      <c r="W2" s="1250"/>
      <c r="X2" s="1250"/>
      <c r="Y2" s="1250"/>
      <c r="Z2" s="1250"/>
    </row>
    <row r="3" spans="1:26" s="391" customFormat="1" ht="15.75" customHeight="1">
      <c r="A3" s="1250" t="s">
        <v>1079</v>
      </c>
      <c r="B3" s="1250"/>
      <c r="C3" s="1250"/>
      <c r="D3" s="1250"/>
      <c r="E3" s="1250"/>
      <c r="F3" s="1250"/>
      <c r="G3" s="1250"/>
      <c r="H3" s="1250"/>
      <c r="I3" s="1250"/>
      <c r="J3" s="1250"/>
      <c r="K3" s="1250"/>
      <c r="L3" s="1250"/>
      <c r="M3" s="1250"/>
      <c r="N3" s="1250"/>
      <c r="O3" s="1250"/>
      <c r="P3" s="1250"/>
      <c r="Q3" s="1250"/>
      <c r="R3" s="1250"/>
      <c r="S3" s="1250"/>
      <c r="T3" s="1250"/>
      <c r="U3" s="1250"/>
      <c r="V3" s="1250"/>
      <c r="W3" s="1250"/>
      <c r="X3" s="1250"/>
      <c r="Y3" s="1250"/>
      <c r="Z3" s="1250"/>
    </row>
    <row r="4" spans="11:26" ht="12.75" thickBot="1">
      <c r="K4" s="295"/>
      <c r="P4" s="718"/>
      <c r="Q4" s="295"/>
      <c r="Z4" s="295" t="s">
        <v>543</v>
      </c>
    </row>
    <row r="5" spans="1:26" ht="13.5" customHeight="1" thickBot="1">
      <c r="A5" s="1284" t="s">
        <v>17</v>
      </c>
      <c r="B5" s="1287" t="s">
        <v>1063</v>
      </c>
      <c r="C5" s="1290" t="s">
        <v>1062</v>
      </c>
      <c r="D5" s="1281" t="s">
        <v>1041</v>
      </c>
      <c r="E5" s="1295" t="s">
        <v>1326</v>
      </c>
      <c r="F5" s="1274" t="s">
        <v>1327</v>
      </c>
      <c r="G5" s="1275"/>
      <c r="H5" s="1275"/>
      <c r="I5" s="1275"/>
      <c r="J5" s="1275"/>
      <c r="K5" s="1275"/>
      <c r="L5" s="1275"/>
      <c r="M5" s="1275"/>
      <c r="N5" s="1275"/>
      <c r="O5" s="1275"/>
      <c r="P5" s="1274" t="s">
        <v>1328</v>
      </c>
      <c r="Q5" s="1275"/>
      <c r="R5" s="1275"/>
      <c r="S5" s="1275"/>
      <c r="T5" s="1275"/>
      <c r="U5" s="1275"/>
      <c r="V5" s="1275"/>
      <c r="W5" s="1275"/>
      <c r="X5" s="1275"/>
      <c r="Y5" s="1275"/>
      <c r="Z5" s="1276"/>
    </row>
    <row r="6" spans="1:26" s="720" customFormat="1" ht="13.5" customHeight="1" thickBot="1">
      <c r="A6" s="1285"/>
      <c r="B6" s="1288"/>
      <c r="C6" s="1291"/>
      <c r="D6" s="1293"/>
      <c r="E6" s="1296"/>
      <c r="F6" s="1272" t="s">
        <v>419</v>
      </c>
      <c r="G6" s="1272" t="s">
        <v>1064</v>
      </c>
      <c r="H6" s="1277" t="s">
        <v>1042</v>
      </c>
      <c r="I6" s="1278"/>
      <c r="J6" s="1278"/>
      <c r="K6" s="1279"/>
      <c r="L6" s="1272" t="s">
        <v>1065</v>
      </c>
      <c r="M6" s="1280" t="s">
        <v>1042</v>
      </c>
      <c r="N6" s="1278"/>
      <c r="O6" s="1279"/>
      <c r="P6" s="1272" t="s">
        <v>419</v>
      </c>
      <c r="Q6" s="1272" t="s">
        <v>1064</v>
      </c>
      <c r="R6" s="1281" t="s">
        <v>1042</v>
      </c>
      <c r="S6" s="1282"/>
      <c r="T6" s="1282"/>
      <c r="U6" s="1282"/>
      <c r="V6" s="1283"/>
      <c r="W6" s="1272" t="s">
        <v>1065</v>
      </c>
      <c r="X6" s="818" t="s">
        <v>1042</v>
      </c>
      <c r="Y6" s="819"/>
      <c r="Z6" s="820"/>
    </row>
    <row r="7" spans="1:26" s="720" customFormat="1" ht="72.75" thickBot="1">
      <c r="A7" s="1286"/>
      <c r="B7" s="1289"/>
      <c r="C7" s="1292"/>
      <c r="D7" s="1294"/>
      <c r="E7" s="1297"/>
      <c r="F7" s="1273"/>
      <c r="G7" s="1273"/>
      <c r="H7" s="390" t="s">
        <v>1066</v>
      </c>
      <c r="I7" s="485" t="s">
        <v>650</v>
      </c>
      <c r="J7" s="485" t="s">
        <v>1067</v>
      </c>
      <c r="K7" s="484" t="s">
        <v>1068</v>
      </c>
      <c r="L7" s="1273"/>
      <c r="M7" s="390" t="s">
        <v>658</v>
      </c>
      <c r="N7" s="485" t="s">
        <v>659</v>
      </c>
      <c r="O7" s="484" t="s">
        <v>660</v>
      </c>
      <c r="P7" s="1273"/>
      <c r="Q7" s="1273"/>
      <c r="R7" s="390" t="s">
        <v>74</v>
      </c>
      <c r="S7" s="485" t="s">
        <v>532</v>
      </c>
      <c r="T7" s="485" t="s">
        <v>533</v>
      </c>
      <c r="U7" s="485" t="s">
        <v>1069</v>
      </c>
      <c r="V7" s="484" t="s">
        <v>535</v>
      </c>
      <c r="W7" s="1273"/>
      <c r="X7" s="390" t="s">
        <v>536</v>
      </c>
      <c r="Y7" s="485" t="s">
        <v>537</v>
      </c>
      <c r="Z7" s="484" t="s">
        <v>538</v>
      </c>
    </row>
    <row r="8" spans="1:26" s="720" customFormat="1" ht="12">
      <c r="A8" s="839">
        <v>1</v>
      </c>
      <c r="B8" s="846" t="str">
        <f>+HLOOKUP($A8,'[4]EI2014'!$G$1:$BY$6,4,FALSE)</f>
        <v>016030</v>
      </c>
      <c r="C8" s="821" t="str">
        <f>+HLOOKUP($A8,'[4]EI2014'!$G$1:$BY$6,2,FALSE)</f>
        <v>Állampolgársági ügyek</v>
      </c>
      <c r="D8" s="216" t="str">
        <f>+HLOOKUP($A8,'[4]EI2014'!$G$1:$BY$6,6,FALSE)</f>
        <v>841124-1</v>
      </c>
      <c r="E8" s="823" t="str">
        <f>+HLOOKUP($A8,'[4]EI2014'!$G$1:$BY$6,5,FALSE)</f>
        <v>Területi általános végrehajtó igazgatási tevékenység</v>
      </c>
      <c r="F8" s="710">
        <f aca="true" t="shared" si="0" ref="F8:F70">+G8+L8</f>
        <v>0</v>
      </c>
      <c r="G8" s="711">
        <f aca="true" t="shared" si="1" ref="G8:G70">+H8+I8+J8+K8</f>
        <v>0</v>
      </c>
      <c r="H8" s="705"/>
      <c r="I8" s="706"/>
      <c r="J8" s="706"/>
      <c r="K8" s="707"/>
      <c r="L8" s="711">
        <f>+M8+N8+O8</f>
        <v>0</v>
      </c>
      <c r="M8" s="705"/>
      <c r="N8" s="706"/>
      <c r="O8" s="707"/>
      <c r="P8" s="710">
        <f aca="true" t="shared" si="2" ref="P8:P70">+Q8+W8</f>
        <v>0</v>
      </c>
      <c r="Q8" s="711">
        <f>+R8+S8+T8+U8+V8</f>
        <v>0</v>
      </c>
      <c r="R8" s="850"/>
      <c r="S8" s="703"/>
      <c r="T8" s="706"/>
      <c r="U8" s="706"/>
      <c r="V8" s="707"/>
      <c r="W8" s="711">
        <f>+X8+Y8+Z8</f>
        <v>0</v>
      </c>
      <c r="X8" s="705"/>
      <c r="Y8" s="706"/>
      <c r="Z8" s="707"/>
    </row>
    <row r="9" spans="1:26" s="720" customFormat="1" ht="12">
      <c r="A9" s="839">
        <f>+A8+1</f>
        <v>2</v>
      </c>
      <c r="B9" s="847" t="str">
        <f>+HLOOKUP($A9,'[4]EI2014'!$G$1:$BY$6,4,FALSE)</f>
        <v>011130</v>
      </c>
      <c r="C9" s="812" t="str">
        <f>+HLOOKUP($A9,'[4]EI2014'!$G$1:$BY$6,2,FALSE)</f>
        <v>Önkormányzatok és önkormányzati hivatalok jogalkotó és általános igazgatási tevékenysége</v>
      </c>
      <c r="D9" s="723" t="str">
        <f>+HLOOKUP($A9,'[4]EI2014'!$G$1:$BY$6,6,FALSE)</f>
        <v>841126-1</v>
      </c>
      <c r="E9" s="824" t="str">
        <f>+HLOOKUP($A9,'[4]EI2014'!$G$1:$BY$6,5,FALSE)</f>
        <v>Önkormányzatok és társulások általános végrehajtó igazgatási tevékenysége</v>
      </c>
      <c r="F9" s="710">
        <f t="shared" si="0"/>
        <v>0</v>
      </c>
      <c r="G9" s="711">
        <f t="shared" si="1"/>
        <v>0</v>
      </c>
      <c r="H9" s="705"/>
      <c r="I9" s="706"/>
      <c r="J9" s="706"/>
      <c r="K9" s="707"/>
      <c r="L9" s="711">
        <f aca="true" t="shared" si="3" ref="L9:L70">+M9+N9+O9</f>
        <v>0</v>
      </c>
      <c r="M9" s="705"/>
      <c r="N9" s="706"/>
      <c r="O9" s="707"/>
      <c r="P9" s="710">
        <f t="shared" si="2"/>
        <v>0</v>
      </c>
      <c r="Q9" s="711">
        <f aca="true" t="shared" si="4" ref="Q9:Q70">+R9+S9+T9+U9+V9</f>
        <v>0</v>
      </c>
      <c r="R9" s="705"/>
      <c r="S9" s="724"/>
      <c r="T9" s="724"/>
      <c r="U9" s="724"/>
      <c r="V9" s="725"/>
      <c r="W9" s="711">
        <f aca="true" t="shared" si="5" ref="W9:W70">+X9+Y9+Z9</f>
        <v>0</v>
      </c>
      <c r="X9" s="726"/>
      <c r="Y9" s="724"/>
      <c r="Z9" s="725"/>
    </row>
    <row r="10" spans="1:26" s="1201" customFormat="1" ht="12" customHeight="1">
      <c r="A10" s="1251" t="s">
        <v>1329</v>
      </c>
      <c r="B10" s="1252"/>
      <c r="C10" s="1252"/>
      <c r="D10" s="1252"/>
      <c r="E10" s="1253"/>
      <c r="F10" s="1193">
        <f t="shared" si="0"/>
        <v>-33497</v>
      </c>
      <c r="G10" s="1194">
        <f t="shared" si="1"/>
        <v>-33497</v>
      </c>
      <c r="H10" s="1195">
        <f>-30000-3497</f>
        <v>-33497</v>
      </c>
      <c r="I10" s="1196"/>
      <c r="J10" s="1196"/>
      <c r="K10" s="1197"/>
      <c r="L10" s="1194">
        <f t="shared" si="3"/>
        <v>0</v>
      </c>
      <c r="M10" s="1195"/>
      <c r="N10" s="1196"/>
      <c r="O10" s="1197"/>
      <c r="P10" s="1193">
        <f t="shared" si="2"/>
        <v>0</v>
      </c>
      <c r="Q10" s="1194">
        <f t="shared" si="4"/>
        <v>0</v>
      </c>
      <c r="R10" s="1195"/>
      <c r="S10" s="1198"/>
      <c r="T10" s="1198"/>
      <c r="U10" s="1198"/>
      <c r="V10" s="1199"/>
      <c r="W10" s="1194">
        <f t="shared" si="5"/>
        <v>0</v>
      </c>
      <c r="X10" s="1200"/>
      <c r="Y10" s="1198"/>
      <c r="Z10" s="1199"/>
    </row>
    <row r="11" spans="1:26" s="1201" customFormat="1" ht="12" customHeight="1">
      <c r="A11" s="1251" t="s">
        <v>1330</v>
      </c>
      <c r="B11" s="1252"/>
      <c r="C11" s="1252"/>
      <c r="D11" s="1252"/>
      <c r="E11" s="1253"/>
      <c r="F11" s="1193">
        <f t="shared" si="0"/>
        <v>0</v>
      </c>
      <c r="G11" s="1194">
        <f t="shared" si="1"/>
        <v>0</v>
      </c>
      <c r="H11" s="1195"/>
      <c r="I11" s="1196"/>
      <c r="J11" s="1196"/>
      <c r="K11" s="1197"/>
      <c r="L11" s="1194">
        <f t="shared" si="3"/>
        <v>0</v>
      </c>
      <c r="M11" s="1195"/>
      <c r="N11" s="1196"/>
      <c r="O11" s="1197"/>
      <c r="P11" s="1193">
        <f t="shared" si="2"/>
        <v>20674</v>
      </c>
      <c r="Q11" s="1194">
        <f t="shared" si="4"/>
        <v>20674</v>
      </c>
      <c r="R11" s="1195">
        <v>1319</v>
      </c>
      <c r="S11" s="1198">
        <v>356</v>
      </c>
      <c r="T11" s="1198">
        <v>18999</v>
      </c>
      <c r="U11" s="1198"/>
      <c r="V11" s="1199"/>
      <c r="W11" s="1194">
        <f t="shared" si="5"/>
        <v>0</v>
      </c>
      <c r="X11" s="1200"/>
      <c r="Y11" s="1198"/>
      <c r="Z11" s="1199"/>
    </row>
    <row r="12" spans="1:26" s="1201" customFormat="1" ht="12" customHeight="1">
      <c r="A12" s="1251" t="s">
        <v>1331</v>
      </c>
      <c r="B12" s="1252"/>
      <c r="C12" s="1252"/>
      <c r="D12" s="1252"/>
      <c r="E12" s="1253"/>
      <c r="F12" s="1193">
        <f t="shared" si="0"/>
        <v>0</v>
      </c>
      <c r="G12" s="1194">
        <f t="shared" si="1"/>
        <v>0</v>
      </c>
      <c r="H12" s="1195"/>
      <c r="I12" s="1196"/>
      <c r="J12" s="1196"/>
      <c r="K12" s="1197"/>
      <c r="L12" s="1194">
        <f t="shared" si="3"/>
        <v>0</v>
      </c>
      <c r="M12" s="1195"/>
      <c r="N12" s="1196"/>
      <c r="O12" s="1197"/>
      <c r="P12" s="1193">
        <f t="shared" si="2"/>
        <v>1817</v>
      </c>
      <c r="Q12" s="1194">
        <f t="shared" si="4"/>
        <v>1817</v>
      </c>
      <c r="R12" s="1195"/>
      <c r="S12" s="1198"/>
      <c r="T12" s="1198"/>
      <c r="U12" s="1198"/>
      <c r="V12" s="1199">
        <f>1431+386</f>
        <v>1817</v>
      </c>
      <c r="W12" s="1194">
        <f t="shared" si="5"/>
        <v>0</v>
      </c>
      <c r="X12" s="1200"/>
      <c r="Y12" s="1198"/>
      <c r="Z12" s="1199"/>
    </row>
    <row r="13" spans="1:26" s="1201" customFormat="1" ht="12" customHeight="1">
      <c r="A13" s="1251" t="s">
        <v>1332</v>
      </c>
      <c r="B13" s="1252"/>
      <c r="C13" s="1252"/>
      <c r="D13" s="1252"/>
      <c r="E13" s="1253"/>
      <c r="F13" s="1193">
        <f t="shared" si="0"/>
        <v>0</v>
      </c>
      <c r="G13" s="1194">
        <f t="shared" si="1"/>
        <v>0</v>
      </c>
      <c r="H13" s="1195"/>
      <c r="I13" s="1196"/>
      <c r="J13" s="1196"/>
      <c r="K13" s="1197"/>
      <c r="L13" s="1194">
        <f t="shared" si="3"/>
        <v>0</v>
      </c>
      <c r="M13" s="1195"/>
      <c r="N13" s="1196"/>
      <c r="O13" s="1197"/>
      <c r="P13" s="1193">
        <f t="shared" si="2"/>
        <v>10000</v>
      </c>
      <c r="Q13" s="1194">
        <f t="shared" si="4"/>
        <v>10000</v>
      </c>
      <c r="R13" s="1195"/>
      <c r="S13" s="1198"/>
      <c r="T13" s="1198"/>
      <c r="U13" s="1198"/>
      <c r="V13" s="1199">
        <v>10000</v>
      </c>
      <c r="W13" s="1194">
        <f t="shared" si="5"/>
        <v>0</v>
      </c>
      <c r="X13" s="1200"/>
      <c r="Y13" s="1198"/>
      <c r="Z13" s="1199"/>
    </row>
    <row r="14" spans="1:26" s="1201" customFormat="1" ht="12" customHeight="1">
      <c r="A14" s="1251" t="s">
        <v>1333</v>
      </c>
      <c r="B14" s="1252"/>
      <c r="C14" s="1252"/>
      <c r="D14" s="1252"/>
      <c r="E14" s="1253"/>
      <c r="F14" s="1193">
        <f t="shared" si="0"/>
        <v>0</v>
      </c>
      <c r="G14" s="1194">
        <f t="shared" si="1"/>
        <v>0</v>
      </c>
      <c r="H14" s="1195"/>
      <c r="I14" s="1196"/>
      <c r="J14" s="1196"/>
      <c r="K14" s="1197"/>
      <c r="L14" s="1194">
        <f t="shared" si="3"/>
        <v>0</v>
      </c>
      <c r="M14" s="1195"/>
      <c r="N14" s="1196"/>
      <c r="O14" s="1197"/>
      <c r="P14" s="1193">
        <f t="shared" si="2"/>
        <v>-200</v>
      </c>
      <c r="Q14" s="1194">
        <f t="shared" si="4"/>
        <v>-200</v>
      </c>
      <c r="R14" s="1195"/>
      <c r="S14" s="1198"/>
      <c r="T14" s="1198"/>
      <c r="U14" s="1198"/>
      <c r="V14" s="1199">
        <v>-200</v>
      </c>
      <c r="W14" s="1194">
        <f t="shared" si="5"/>
        <v>0</v>
      </c>
      <c r="X14" s="1200"/>
      <c r="Y14" s="1198"/>
      <c r="Z14" s="1199"/>
    </row>
    <row r="15" spans="1:26" s="1201" customFormat="1" ht="12" customHeight="1">
      <c r="A15" s="1251" t="s">
        <v>1334</v>
      </c>
      <c r="B15" s="1252"/>
      <c r="C15" s="1252"/>
      <c r="D15" s="1252"/>
      <c r="E15" s="1253"/>
      <c r="F15" s="1193">
        <f t="shared" si="0"/>
        <v>0</v>
      </c>
      <c r="G15" s="1194">
        <f t="shared" si="1"/>
        <v>0</v>
      </c>
      <c r="H15" s="1195"/>
      <c r="I15" s="1196"/>
      <c r="J15" s="1196"/>
      <c r="K15" s="1197"/>
      <c r="L15" s="1194">
        <f t="shared" si="3"/>
        <v>0</v>
      </c>
      <c r="M15" s="1195"/>
      <c r="N15" s="1196"/>
      <c r="O15" s="1197"/>
      <c r="P15" s="1193">
        <f t="shared" si="2"/>
        <v>-9822</v>
      </c>
      <c r="Q15" s="1194">
        <f t="shared" si="4"/>
        <v>-9822</v>
      </c>
      <c r="R15" s="1195"/>
      <c r="S15" s="1198"/>
      <c r="T15" s="1198">
        <v>-19822</v>
      </c>
      <c r="U15" s="1198"/>
      <c r="V15" s="1199">
        <v>10000</v>
      </c>
      <c r="W15" s="1194">
        <f t="shared" si="5"/>
        <v>0</v>
      </c>
      <c r="X15" s="1200"/>
      <c r="Y15" s="1198"/>
      <c r="Z15" s="1199"/>
    </row>
    <row r="16" spans="1:26" s="720" customFormat="1" ht="12">
      <c r="A16" s="839">
        <f>+A9+1</f>
        <v>3</v>
      </c>
      <c r="B16" s="847" t="str">
        <f>+HLOOKUP($A16,'[4]EI2014'!$G$1:$BY$6,4,FALSE)</f>
        <v>011140</v>
      </c>
      <c r="C16" s="812" t="str">
        <f>+HLOOKUP($A16,'[4]EI2014'!$G$1:$BY$6,2,FALSE)</f>
        <v>Önkormányzatok és önkormányzati hivatalok jogalkotó és általános igazgatási tevékenysége</v>
      </c>
      <c r="D16" s="723" t="str">
        <f>+HLOOKUP($A16,'[4]EI2014'!$G$1:$BY$6,6,FALSE)</f>
        <v>841127-5</v>
      </c>
      <c r="E16" s="824" t="str">
        <f>+HLOOKUP($A16,'[4]EI2014'!$G$1:$BY$6,5,FALSE)</f>
        <v>Helyi nemzetiségi önkormányzatok igazgatási tevékenysége</v>
      </c>
      <c r="F16" s="710">
        <f t="shared" si="0"/>
        <v>0</v>
      </c>
      <c r="G16" s="711">
        <f t="shared" si="1"/>
        <v>0</v>
      </c>
      <c r="H16" s="705"/>
      <c r="I16" s="706"/>
      <c r="J16" s="706"/>
      <c r="K16" s="707"/>
      <c r="L16" s="711">
        <f t="shared" si="3"/>
        <v>0</v>
      </c>
      <c r="M16" s="705"/>
      <c r="N16" s="706"/>
      <c r="O16" s="707"/>
      <c r="P16" s="710">
        <f t="shared" si="2"/>
        <v>0</v>
      </c>
      <c r="Q16" s="711">
        <f t="shared" si="4"/>
        <v>0</v>
      </c>
      <c r="R16" s="705"/>
      <c r="S16" s="724"/>
      <c r="T16" s="724"/>
      <c r="U16" s="724"/>
      <c r="V16" s="725"/>
      <c r="W16" s="711">
        <f t="shared" si="5"/>
        <v>0</v>
      </c>
      <c r="X16" s="726"/>
      <c r="Y16" s="724"/>
      <c r="Z16" s="725"/>
    </row>
    <row r="17" spans="1:26" s="733" customFormat="1" ht="12">
      <c r="A17" s="839">
        <f aca="true" t="shared" si="6" ref="A17:A70">+A16+1</f>
        <v>4</v>
      </c>
      <c r="B17" s="847" t="str">
        <f>+HLOOKUP($A17,'[4]EI2014'!$G$1:$BY$6,4,FALSE)</f>
        <v>011220</v>
      </c>
      <c r="C17" s="812" t="str">
        <f>+HLOOKUP($A17,'[4]EI2014'!$G$1:$BY$6,2,FALSE)</f>
        <v>Adó-, vám- és jövedéki igazgatás</v>
      </c>
      <c r="D17" s="723" t="str">
        <f>+HLOOKUP($A17,'[4]EI2014'!$G$1:$BY$6,6,FALSE)</f>
        <v>841133-1</v>
      </c>
      <c r="E17" s="824" t="str">
        <f>+HLOOKUP($A17,'[4]EI2014'!$G$1:$BY$6,5,FALSE)</f>
        <v>Adó, illeték kiszabása, beszedése, adóellenőrzés</v>
      </c>
      <c r="F17" s="727">
        <f t="shared" si="0"/>
        <v>0</v>
      </c>
      <c r="G17" s="728">
        <f t="shared" si="1"/>
        <v>0</v>
      </c>
      <c r="H17" s="705"/>
      <c r="I17" s="706"/>
      <c r="J17" s="706"/>
      <c r="K17" s="707"/>
      <c r="L17" s="728">
        <f t="shared" si="3"/>
        <v>0</v>
      </c>
      <c r="M17" s="705"/>
      <c r="N17" s="706"/>
      <c r="O17" s="707"/>
      <c r="P17" s="727">
        <f t="shared" si="2"/>
        <v>0</v>
      </c>
      <c r="Q17" s="728">
        <f t="shared" si="4"/>
        <v>0</v>
      </c>
      <c r="R17" s="705"/>
      <c r="S17" s="729"/>
      <c r="T17" s="729"/>
      <c r="U17" s="729"/>
      <c r="V17" s="730"/>
      <c r="W17" s="728">
        <f t="shared" si="5"/>
        <v>0</v>
      </c>
      <c r="X17" s="731"/>
      <c r="Y17" s="729"/>
      <c r="Z17" s="730"/>
    </row>
    <row r="18" spans="1:26" s="720" customFormat="1" ht="12">
      <c r="A18" s="839">
        <f t="shared" si="6"/>
        <v>5</v>
      </c>
      <c r="B18" s="847" t="str">
        <f>+HLOOKUP($A18,'[4]EI2014'!$G$1:$BY$6,4,FALSE)</f>
        <v>013320</v>
      </c>
      <c r="C18" s="812" t="str">
        <f>+HLOOKUP($A18,'[4]EI2014'!$G$1:$BY$6,2,FALSE)</f>
        <v>Köztemető-fenntartás és -működtetés</v>
      </c>
      <c r="D18" s="735" t="str">
        <f>+HLOOKUP($A18,'[4]EI2014'!$G$1:$BY$6,6,FALSE)</f>
        <v>960302-1</v>
      </c>
      <c r="E18" s="824" t="str">
        <f>+HLOOKUP($A18,'[4]EI2014'!$G$1:$BY$6,5,FALSE)</f>
        <v>Köztemető fenntartás és működtetés</v>
      </c>
      <c r="F18" s="736">
        <f>+G18+L18</f>
        <v>0</v>
      </c>
      <c r="G18" s="737">
        <f>+H18+I18+J18+K18</f>
        <v>0</v>
      </c>
      <c r="H18" s="705"/>
      <c r="I18" s="706"/>
      <c r="J18" s="706"/>
      <c r="K18" s="707"/>
      <c r="L18" s="737">
        <f>+M18+N18+O18</f>
        <v>0</v>
      </c>
      <c r="M18" s="705"/>
      <c r="N18" s="706"/>
      <c r="O18" s="707"/>
      <c r="P18" s="736">
        <f t="shared" si="2"/>
        <v>0</v>
      </c>
      <c r="Q18" s="737">
        <f t="shared" si="4"/>
        <v>0</v>
      </c>
      <c r="R18" s="705"/>
      <c r="S18" s="724"/>
      <c r="T18" s="724"/>
      <c r="U18" s="724"/>
      <c r="V18" s="725"/>
      <c r="W18" s="737">
        <f t="shared" si="5"/>
        <v>0</v>
      </c>
      <c r="X18" s="726"/>
      <c r="Y18" s="724"/>
      <c r="Z18" s="725"/>
    </row>
    <row r="19" spans="1:26" ht="12">
      <c r="A19" s="839">
        <f t="shared" si="6"/>
        <v>6</v>
      </c>
      <c r="B19" s="847" t="str">
        <f>+HLOOKUP($A19,'[4]EI2014'!$G$1:$BY$6,4,FALSE)</f>
        <v>013350</v>
      </c>
      <c r="C19" s="813" t="str">
        <f>+HLOOKUP($A19,'[4]EI2014'!$G$1:$BY$6,2,FALSE)</f>
        <v>Az önkormányzati vagyonnal való gazdálkodással kapcsolatos feladatok (nem szociális bérlakás)</v>
      </c>
      <c r="D19" s="723" t="str">
        <f>+HLOOKUP($A19,'[4]EI2014'!$G$1:$BY$6,6,FALSE)</f>
        <v>680001-1</v>
      </c>
      <c r="E19" s="825" t="str">
        <f>+HLOOKUP($A19,'[4]EI2014'!$G$1:$BY$6,5,FALSE)</f>
        <v>Lakóingatlan bérbeadása, üzemeltetése</v>
      </c>
      <c r="F19" s="710">
        <f t="shared" si="0"/>
        <v>0</v>
      </c>
      <c r="G19" s="711">
        <f t="shared" si="1"/>
        <v>0</v>
      </c>
      <c r="H19" s="705"/>
      <c r="I19" s="706"/>
      <c r="J19" s="706"/>
      <c r="K19" s="707"/>
      <c r="L19" s="711">
        <f t="shared" si="3"/>
        <v>0</v>
      </c>
      <c r="M19" s="705"/>
      <c r="N19" s="706"/>
      <c r="O19" s="707"/>
      <c r="P19" s="710">
        <f t="shared" si="2"/>
        <v>0</v>
      </c>
      <c r="Q19" s="711">
        <f t="shared" si="4"/>
        <v>0</v>
      </c>
      <c r="R19" s="705"/>
      <c r="S19" s="738"/>
      <c r="T19" s="738"/>
      <c r="U19" s="738"/>
      <c r="V19" s="602"/>
      <c r="W19" s="711">
        <f t="shared" si="5"/>
        <v>0</v>
      </c>
      <c r="X19" s="739"/>
      <c r="Y19" s="738"/>
      <c r="Z19" s="602"/>
    </row>
    <row r="20" spans="1:26" ht="24">
      <c r="A20" s="839">
        <f t="shared" si="6"/>
        <v>7</v>
      </c>
      <c r="B20" s="847" t="str">
        <f>+HLOOKUP($A20,'[4]EI2014'!$G$1:$BY$6,4,FALSE)</f>
        <v>013350</v>
      </c>
      <c r="C20" s="812" t="str">
        <f>+HLOOKUP($A20,'[4]EI2014'!$G$1:$BY$6,2,FALSE)</f>
        <v>Az önkormányzati vagyonnal való gazdálkodással kapcsolatos feladatok (önkormányzati tulajdonú üzlethelyiségek, irodák, más ingatlanok hasznosítása)</v>
      </c>
      <c r="D20" s="735" t="str">
        <f>+HLOOKUP($A20,'[4]EI2014'!$G$1:$BY$6,6,FALSE)</f>
        <v>682002-1</v>
      </c>
      <c r="E20" s="826" t="str">
        <f>+HLOOKUP($A20,'[4]EI2014'!$G$1:$BY$6,5,FALSE)</f>
        <v>Nem lakóingatlan bérbeadása, üzemeltetése</v>
      </c>
      <c r="F20" s="736">
        <f t="shared" si="0"/>
        <v>0</v>
      </c>
      <c r="G20" s="737">
        <f t="shared" si="1"/>
        <v>0</v>
      </c>
      <c r="H20" s="705"/>
      <c r="I20" s="706"/>
      <c r="J20" s="706"/>
      <c r="K20" s="707"/>
      <c r="L20" s="737">
        <f t="shared" si="3"/>
        <v>0</v>
      </c>
      <c r="M20" s="705"/>
      <c r="N20" s="706"/>
      <c r="O20" s="707"/>
      <c r="P20" s="736">
        <f t="shared" si="2"/>
        <v>0</v>
      </c>
      <c r="Q20" s="737">
        <f t="shared" si="4"/>
        <v>0</v>
      </c>
      <c r="R20" s="705"/>
      <c r="S20" s="724"/>
      <c r="T20" s="724"/>
      <c r="U20" s="724"/>
      <c r="V20" s="725"/>
      <c r="W20" s="737">
        <f t="shared" si="5"/>
        <v>0</v>
      </c>
      <c r="X20" s="726"/>
      <c r="Y20" s="724"/>
      <c r="Z20" s="725"/>
    </row>
    <row r="21" spans="1:26" s="748" customFormat="1" ht="12">
      <c r="A21" s="839">
        <f t="shared" si="6"/>
        <v>8</v>
      </c>
      <c r="B21" s="847" t="str">
        <f>+HLOOKUP($A21,'[4]EI2014'!$G$1:$BY$6,4,FALSE)</f>
        <v>013360</v>
      </c>
      <c r="C21" s="811" t="str">
        <f>+HLOOKUP($A21,'[4]EI2014'!$G$1:$BY$6,2,FALSE)</f>
        <v>Más szerv részére végzett pénzügyi-gazdálkodási, üzemeltetési, egyéb szolgáltatások</v>
      </c>
      <c r="D21" s="735" t="str">
        <f>+HLOOKUP($A21,'[4]EI2014'!$G$1:$BY$6,6,FALSE)</f>
        <v>811000-1</v>
      </c>
      <c r="E21" s="822" t="str">
        <f>+HLOOKUP($A21,'[4]EI2014'!$G$1:$BY$6,5,FALSE)</f>
        <v>Építményüzemeltetés</v>
      </c>
      <c r="F21" s="736">
        <f t="shared" si="0"/>
        <v>0</v>
      </c>
      <c r="G21" s="737">
        <f t="shared" si="1"/>
        <v>0</v>
      </c>
      <c r="H21" s="705"/>
      <c r="I21" s="706"/>
      <c r="J21" s="706"/>
      <c r="K21" s="707"/>
      <c r="L21" s="737">
        <f t="shared" si="3"/>
        <v>0</v>
      </c>
      <c r="M21" s="705"/>
      <c r="N21" s="706"/>
      <c r="O21" s="707"/>
      <c r="P21" s="736">
        <f t="shared" si="2"/>
        <v>0</v>
      </c>
      <c r="Q21" s="737">
        <f t="shared" si="4"/>
        <v>0</v>
      </c>
      <c r="R21" s="705"/>
      <c r="S21" s="724"/>
      <c r="T21" s="724"/>
      <c r="U21" s="724"/>
      <c r="V21" s="725"/>
      <c r="W21" s="737">
        <f t="shared" si="5"/>
        <v>0</v>
      </c>
      <c r="X21" s="726"/>
      <c r="Y21" s="724"/>
      <c r="Z21" s="725"/>
    </row>
    <row r="22" spans="1:26" ht="12">
      <c r="A22" s="839">
        <f t="shared" si="6"/>
        <v>9</v>
      </c>
      <c r="B22" s="847" t="str">
        <f>+HLOOKUP($A22,'[4]EI2014'!$G$1:$BY$6,4,FALSE)</f>
        <v>016020</v>
      </c>
      <c r="C22" s="812" t="str">
        <f>+HLOOKUP($A22,'[4]EI2014'!$G$1:$BY$6,2,FALSE)</f>
        <v>Országos és helyi népszavazással kapcsolatos tevékenységek</v>
      </c>
      <c r="D22" s="735" t="str">
        <f>+HLOOKUP($A22,'[4]EI2014'!$G$1:$BY$6,6,FALSE)</f>
        <v>841118-1</v>
      </c>
      <c r="E22" s="826" t="str">
        <f>+HLOOKUP($A22,'[4]EI2014'!$G$1:$BY$6,5,FALSE)</f>
        <v>Országos és helyi népszavazáshoz kapcsolódó tevékenységek </v>
      </c>
      <c r="F22" s="736">
        <f t="shared" si="0"/>
        <v>0</v>
      </c>
      <c r="G22" s="737">
        <f t="shared" si="1"/>
        <v>0</v>
      </c>
      <c r="H22" s="705"/>
      <c r="I22" s="706"/>
      <c r="J22" s="706"/>
      <c r="K22" s="707"/>
      <c r="L22" s="737">
        <f t="shared" si="3"/>
        <v>0</v>
      </c>
      <c r="M22" s="705"/>
      <c r="N22" s="706"/>
      <c r="O22" s="707"/>
      <c r="P22" s="736">
        <f t="shared" si="2"/>
        <v>0</v>
      </c>
      <c r="Q22" s="737">
        <f t="shared" si="4"/>
        <v>0</v>
      </c>
      <c r="R22" s="705"/>
      <c r="S22" s="724"/>
      <c r="T22" s="724"/>
      <c r="U22" s="724"/>
      <c r="V22" s="725"/>
      <c r="W22" s="737">
        <f t="shared" si="5"/>
        <v>0</v>
      </c>
      <c r="X22" s="726"/>
      <c r="Y22" s="724"/>
      <c r="Z22" s="725"/>
    </row>
    <row r="23" spans="1:26" ht="12">
      <c r="A23" s="839">
        <f t="shared" si="6"/>
        <v>10</v>
      </c>
      <c r="B23" s="847" t="str">
        <f>+HLOOKUP($A23,'[4]EI2014'!$G$1:$BY$6,4,FALSE)</f>
        <v>018010</v>
      </c>
      <c r="C23" s="812" t="str">
        <f>+HLOOKUP($A23,'[4]EI2014'!$G$1:$BY$6,2,FALSE)</f>
        <v>Önkormányzatok elszámolásai a központi költségvetéssel</v>
      </c>
      <c r="D23" s="735" t="str">
        <f>+HLOOKUP($A23,'[4]EI2014'!$G$1:$BY$6,6,FALSE)</f>
        <v>841901-9</v>
      </c>
      <c r="E23" s="826" t="str">
        <f>+HLOOKUP($A23,'[4]EI2014'!$G$1:$BY$6,5,FALSE)</f>
        <v>Önkormányzatok és társulások elszámolásai a központi költségvetéssel</v>
      </c>
      <c r="F23" s="736">
        <f t="shared" si="0"/>
        <v>0</v>
      </c>
      <c r="G23" s="737">
        <f t="shared" si="1"/>
        <v>0</v>
      </c>
      <c r="H23" s="705"/>
      <c r="I23" s="706"/>
      <c r="J23" s="706"/>
      <c r="K23" s="707"/>
      <c r="L23" s="737">
        <f t="shared" si="3"/>
        <v>0</v>
      </c>
      <c r="M23" s="705"/>
      <c r="N23" s="706"/>
      <c r="O23" s="707"/>
      <c r="P23" s="736">
        <f t="shared" si="2"/>
        <v>0</v>
      </c>
      <c r="Q23" s="737">
        <f t="shared" si="4"/>
        <v>0</v>
      </c>
      <c r="R23" s="705"/>
      <c r="S23" s="724"/>
      <c r="T23" s="724"/>
      <c r="U23" s="724"/>
      <c r="V23" s="725"/>
      <c r="W23" s="737">
        <f t="shared" si="5"/>
        <v>0</v>
      </c>
      <c r="X23" s="726"/>
      <c r="Y23" s="724"/>
      <c r="Z23" s="725"/>
    </row>
    <row r="24" spans="1:26" s="1201" customFormat="1" ht="12" customHeight="1">
      <c r="A24" s="1251" t="s">
        <v>1329</v>
      </c>
      <c r="B24" s="1252"/>
      <c r="C24" s="1252"/>
      <c r="D24" s="1252"/>
      <c r="E24" s="1253"/>
      <c r="F24" s="1193">
        <f t="shared" si="0"/>
        <v>26851</v>
      </c>
      <c r="G24" s="1194">
        <f t="shared" si="1"/>
        <v>26851</v>
      </c>
      <c r="H24" s="1195">
        <f>23306+3545</f>
        <v>26851</v>
      </c>
      <c r="I24" s="1196"/>
      <c r="J24" s="1196"/>
      <c r="K24" s="1197"/>
      <c r="L24" s="1194">
        <f t="shared" si="3"/>
        <v>0</v>
      </c>
      <c r="M24" s="1195"/>
      <c r="N24" s="1196"/>
      <c r="O24" s="1197"/>
      <c r="P24" s="1193">
        <f t="shared" si="2"/>
        <v>0</v>
      </c>
      <c r="Q24" s="1194">
        <f t="shared" si="4"/>
        <v>0</v>
      </c>
      <c r="R24" s="1195"/>
      <c r="S24" s="1198"/>
      <c r="T24" s="1198"/>
      <c r="U24" s="1198"/>
      <c r="V24" s="1199"/>
      <c r="W24" s="1194">
        <f t="shared" si="5"/>
        <v>0</v>
      </c>
      <c r="X24" s="1200"/>
      <c r="Y24" s="1198"/>
      <c r="Z24" s="1199"/>
    </row>
    <row r="25" spans="1:26" ht="12">
      <c r="A25" s="839">
        <f>+A23+1</f>
        <v>11</v>
      </c>
      <c r="B25" s="847" t="str">
        <f>+HLOOKUP($A25,'[4]EI2014'!$G$1:$BY$6,4,FALSE)</f>
        <v>018020</v>
      </c>
      <c r="C25" s="812" t="str">
        <f>+HLOOKUP($A25,'[4]EI2014'!$G$1:$BY$6,2,FALSE)</f>
        <v>Központi költségvetési befizetések</v>
      </c>
      <c r="D25" s="735" t="str">
        <f>+HLOOKUP($A25,'[4]EI2014'!$G$1:$BY$6,6,FALSE)</f>
        <v>841902-9</v>
      </c>
      <c r="E25" s="826" t="str">
        <f>+HLOOKUP($A25,'[4]EI2014'!$G$1:$BY$6,5,FALSE)</f>
        <v>Központi költségvetési befizetések </v>
      </c>
      <c r="F25" s="736">
        <f t="shared" si="0"/>
        <v>0</v>
      </c>
      <c r="G25" s="737">
        <f t="shared" si="1"/>
        <v>0</v>
      </c>
      <c r="H25" s="705"/>
      <c r="I25" s="706"/>
      <c r="J25" s="706"/>
      <c r="K25" s="707"/>
      <c r="L25" s="737">
        <f t="shared" si="3"/>
        <v>0</v>
      </c>
      <c r="M25" s="705"/>
      <c r="N25" s="706"/>
      <c r="O25" s="707"/>
      <c r="P25" s="736">
        <f t="shared" si="2"/>
        <v>0</v>
      </c>
      <c r="Q25" s="737">
        <f t="shared" si="4"/>
        <v>0</v>
      </c>
      <c r="R25" s="705"/>
      <c r="S25" s="724"/>
      <c r="T25" s="724"/>
      <c r="U25" s="724"/>
      <c r="V25" s="725"/>
      <c r="W25" s="737">
        <f t="shared" si="5"/>
        <v>0</v>
      </c>
      <c r="X25" s="726"/>
      <c r="Y25" s="724"/>
      <c r="Z25" s="725"/>
    </row>
    <row r="26" spans="1:26" s="1201" customFormat="1" ht="12" customHeight="1">
      <c r="A26" s="1251" t="s">
        <v>1335</v>
      </c>
      <c r="B26" s="1252"/>
      <c r="C26" s="1252"/>
      <c r="D26" s="1252"/>
      <c r="E26" s="1253"/>
      <c r="F26" s="1193">
        <f t="shared" si="0"/>
        <v>0</v>
      </c>
      <c r="G26" s="1194">
        <f t="shared" si="1"/>
        <v>0</v>
      </c>
      <c r="H26" s="1195"/>
      <c r="I26" s="1196"/>
      <c r="J26" s="1196"/>
      <c r="K26" s="1197"/>
      <c r="L26" s="1194">
        <f t="shared" si="3"/>
        <v>0</v>
      </c>
      <c r="M26" s="1195"/>
      <c r="N26" s="1196"/>
      <c r="O26" s="1197"/>
      <c r="P26" s="1193">
        <f t="shared" si="2"/>
        <v>2536</v>
      </c>
      <c r="Q26" s="1194">
        <f t="shared" si="4"/>
        <v>2536</v>
      </c>
      <c r="R26" s="1195"/>
      <c r="S26" s="1198"/>
      <c r="T26" s="1198">
        <v>2536</v>
      </c>
      <c r="U26" s="1198"/>
      <c r="V26" s="1199"/>
      <c r="W26" s="1194">
        <f t="shared" si="5"/>
        <v>0</v>
      </c>
      <c r="X26" s="1200"/>
      <c r="Y26" s="1198"/>
      <c r="Z26" s="1199"/>
    </row>
    <row r="27" spans="1:26" ht="12">
      <c r="A27" s="839">
        <f>+A25+1</f>
        <v>12</v>
      </c>
      <c r="B27" s="847" t="str">
        <f>+HLOOKUP($A27,'[4]EI2014'!$G$1:$BY$6,4,FALSE)</f>
        <v>022010</v>
      </c>
      <c r="C27" s="812" t="str">
        <f>+HLOOKUP($A27,'[4]EI2014'!$G$1:$BY$6,2,FALSE)</f>
        <v>A polgári honvédelem ágazati feladatai, a lakosság felkészítése</v>
      </c>
      <c r="D27" s="735" t="str">
        <f>+HLOOKUP($A27,'[4]EI2014'!$G$1:$BY$6,6,FALSE)</f>
        <v>842531-1</v>
      </c>
      <c r="E27" s="826" t="str">
        <f>+HLOOKUP($A27,'[4]EI2014'!$G$1:$BY$6,5,FALSE)</f>
        <v>A polgári védelem ágazati feladatai</v>
      </c>
      <c r="F27" s="736">
        <f t="shared" si="0"/>
        <v>0</v>
      </c>
      <c r="G27" s="737">
        <f t="shared" si="1"/>
        <v>0</v>
      </c>
      <c r="H27" s="705"/>
      <c r="I27" s="706"/>
      <c r="J27" s="706"/>
      <c r="K27" s="707"/>
      <c r="L27" s="737">
        <f t="shared" si="3"/>
        <v>0</v>
      </c>
      <c r="M27" s="705"/>
      <c r="N27" s="706"/>
      <c r="O27" s="707"/>
      <c r="P27" s="736">
        <f t="shared" si="2"/>
        <v>0</v>
      </c>
      <c r="Q27" s="737">
        <f t="shared" si="4"/>
        <v>0</v>
      </c>
      <c r="R27" s="705"/>
      <c r="S27" s="724"/>
      <c r="T27" s="724"/>
      <c r="U27" s="724"/>
      <c r="V27" s="725"/>
      <c r="W27" s="737">
        <f t="shared" si="5"/>
        <v>0</v>
      </c>
      <c r="X27" s="726"/>
      <c r="Y27" s="724"/>
      <c r="Z27" s="725"/>
    </row>
    <row r="28" spans="1:26" ht="12">
      <c r="A28" s="839">
        <f t="shared" si="6"/>
        <v>13</v>
      </c>
      <c r="B28" s="847" t="str">
        <f>+HLOOKUP($A28,'[4]EI2014'!$G$1:$BY$6,4,FALSE)</f>
        <v>041231</v>
      </c>
      <c r="C28" s="812" t="str">
        <f>+HLOOKUP($A28,'[4]EI2014'!$G$1:$BY$6,2,FALSE)</f>
        <v>Rövid időtartamú közfoglalkoztatás </v>
      </c>
      <c r="D28" s="735" t="str">
        <f>+HLOOKUP($A28,'[4]EI2014'!$G$1:$BY$6,6,FALSE)</f>
        <v>890441-1</v>
      </c>
      <c r="E28" s="826" t="str">
        <f>+HLOOKUP($A28,'[4]EI2014'!$G$1:$BY$6,5,FALSE)</f>
        <v>Rövid időtartamú közfoglalkoztatás</v>
      </c>
      <c r="F28" s="736">
        <f t="shared" si="0"/>
        <v>0</v>
      </c>
      <c r="G28" s="737">
        <f t="shared" si="1"/>
        <v>0</v>
      </c>
      <c r="H28" s="705"/>
      <c r="I28" s="706"/>
      <c r="J28" s="706"/>
      <c r="K28" s="707"/>
      <c r="L28" s="737">
        <f t="shared" si="3"/>
        <v>0</v>
      </c>
      <c r="M28" s="705"/>
      <c r="N28" s="706"/>
      <c r="O28" s="707"/>
      <c r="P28" s="736">
        <f t="shared" si="2"/>
        <v>0</v>
      </c>
      <c r="Q28" s="737">
        <f t="shared" si="4"/>
        <v>0</v>
      </c>
      <c r="R28" s="705"/>
      <c r="S28" s="724"/>
      <c r="T28" s="724"/>
      <c r="U28" s="724"/>
      <c r="V28" s="725"/>
      <c r="W28" s="737">
        <f t="shared" si="5"/>
        <v>0</v>
      </c>
      <c r="X28" s="726"/>
      <c r="Y28" s="724"/>
      <c r="Z28" s="725"/>
    </row>
    <row r="29" spans="1:26" ht="12">
      <c r="A29" s="839">
        <f t="shared" si="6"/>
        <v>14</v>
      </c>
      <c r="B29" s="847" t="str">
        <f>+HLOOKUP($A29,'[4]EI2014'!$G$1:$BY$6,4,FALSE)</f>
        <v>041232</v>
      </c>
      <c r="C29" s="812" t="str">
        <f>+HLOOKUP($A29,'[4]EI2014'!$G$1:$BY$6,2,FALSE)</f>
        <v>Start-munka program – Téli közfoglalkoztatás</v>
      </c>
      <c r="D29" s="735" t="str">
        <f>+HLOOKUP($A29,'[4]EI2014'!$G$1:$BY$6,6,FALSE)</f>
        <v>890441-1</v>
      </c>
      <c r="E29" s="826" t="str">
        <f>+HLOOKUP($A29,'[4]EI2014'!$G$1:$BY$6,5,FALSE)</f>
        <v>Rövid időtartamú közfoglalkoztatás</v>
      </c>
      <c r="F29" s="736">
        <f t="shared" si="0"/>
        <v>0</v>
      </c>
      <c r="G29" s="737">
        <f t="shared" si="1"/>
        <v>0</v>
      </c>
      <c r="H29" s="705"/>
      <c r="I29" s="706"/>
      <c r="J29" s="706"/>
      <c r="K29" s="707"/>
      <c r="L29" s="737">
        <f t="shared" si="3"/>
        <v>0</v>
      </c>
      <c r="M29" s="705"/>
      <c r="N29" s="706"/>
      <c r="O29" s="707"/>
      <c r="P29" s="736">
        <f t="shared" si="2"/>
        <v>0</v>
      </c>
      <c r="Q29" s="737">
        <f t="shared" si="4"/>
        <v>0</v>
      </c>
      <c r="R29" s="705"/>
      <c r="S29" s="724"/>
      <c r="T29" s="724"/>
      <c r="U29" s="724"/>
      <c r="V29" s="725"/>
      <c r="W29" s="737">
        <f t="shared" si="5"/>
        <v>0</v>
      </c>
      <c r="X29" s="726"/>
      <c r="Y29" s="724"/>
      <c r="Z29" s="725"/>
    </row>
    <row r="30" spans="1:26" ht="12">
      <c r="A30" s="839">
        <f t="shared" si="6"/>
        <v>15</v>
      </c>
      <c r="B30" s="847" t="str">
        <f>+HLOOKUP($A30,'[4]EI2014'!$G$1:$BY$6,4,FALSE)</f>
        <v>041233</v>
      </c>
      <c r="C30" s="812" t="str">
        <f>+HLOOKUP($A30,'[4]EI2014'!$G$1:$BY$6,2,FALSE)</f>
        <v>Hosszabb időtartamú közfoglalkoztatás</v>
      </c>
      <c r="D30" s="735" t="str">
        <f>+HLOOKUP($A30,'[4]EI2014'!$G$1:$BY$6,6,FALSE)</f>
        <v>890442-1 </v>
      </c>
      <c r="E30" s="826" t="str">
        <f>+HLOOKUP($A30,'[4]EI2014'!$G$1:$BY$6,5,FALSE)</f>
        <v>Foglalkoztatást helyettesítő támogatásra jogosultak hosszabb időtartamú közfoglalkoztatása</v>
      </c>
      <c r="F30" s="736">
        <f t="shared" si="0"/>
        <v>0</v>
      </c>
      <c r="G30" s="737">
        <f t="shared" si="1"/>
        <v>0</v>
      </c>
      <c r="H30" s="705"/>
      <c r="I30" s="706"/>
      <c r="J30" s="706"/>
      <c r="K30" s="707"/>
      <c r="L30" s="737">
        <f t="shared" si="3"/>
        <v>0</v>
      </c>
      <c r="M30" s="705"/>
      <c r="N30" s="706"/>
      <c r="O30" s="707"/>
      <c r="P30" s="736">
        <f t="shared" si="2"/>
        <v>0</v>
      </c>
      <c r="Q30" s="737">
        <f t="shared" si="4"/>
        <v>0</v>
      </c>
      <c r="R30" s="705"/>
      <c r="S30" s="724"/>
      <c r="T30" s="724"/>
      <c r="U30" s="724"/>
      <c r="V30" s="725"/>
      <c r="W30" s="737">
        <f t="shared" si="5"/>
        <v>0</v>
      </c>
      <c r="X30" s="726"/>
      <c r="Y30" s="724"/>
      <c r="Z30" s="725"/>
    </row>
    <row r="31" spans="1:26" ht="12">
      <c r="A31" s="839">
        <f t="shared" si="6"/>
        <v>16</v>
      </c>
      <c r="B31" s="847" t="str">
        <f>+HLOOKUP($A31,'[4]EI2014'!$G$1:$BY$6,4,FALSE)</f>
        <v>041236</v>
      </c>
      <c r="C31" s="812" t="str">
        <f>+HLOOKUP($A31,'[4]EI2014'!$G$1:$BY$6,2,FALSE)</f>
        <v>Országos közfoglalkoztatási program</v>
      </c>
      <c r="D31" s="735" t="str">
        <f>+HLOOKUP($A31,'[4]EI2014'!$G$1:$BY$6,6,FALSE)</f>
        <v>890443-1</v>
      </c>
      <c r="E31" s="826" t="str">
        <f>+HLOOKUP($A31,'[4]EI2014'!$G$1:$BY$6,5,FALSE)</f>
        <v>Egyéb közfoglalkoztatás</v>
      </c>
      <c r="F31" s="736">
        <f t="shared" si="0"/>
        <v>0</v>
      </c>
      <c r="G31" s="737">
        <f t="shared" si="1"/>
        <v>0</v>
      </c>
      <c r="H31" s="705"/>
      <c r="I31" s="706"/>
      <c r="J31" s="706"/>
      <c r="K31" s="707"/>
      <c r="L31" s="737">
        <f t="shared" si="3"/>
        <v>0</v>
      </c>
      <c r="M31" s="705"/>
      <c r="N31" s="706"/>
      <c r="O31" s="707"/>
      <c r="P31" s="736">
        <f t="shared" si="2"/>
        <v>0</v>
      </c>
      <c r="Q31" s="737">
        <f t="shared" si="4"/>
        <v>0</v>
      </c>
      <c r="R31" s="705"/>
      <c r="S31" s="724"/>
      <c r="T31" s="724"/>
      <c r="U31" s="724"/>
      <c r="V31" s="725"/>
      <c r="W31" s="737">
        <f t="shared" si="5"/>
        <v>0</v>
      </c>
      <c r="X31" s="726"/>
      <c r="Y31" s="724"/>
      <c r="Z31" s="725"/>
    </row>
    <row r="32" spans="1:26" ht="12">
      <c r="A32" s="839">
        <f t="shared" si="6"/>
        <v>17</v>
      </c>
      <c r="B32" s="847" t="str">
        <f>+HLOOKUP($A32,'[4]EI2014'!$G$1:$BY$6,4,FALSE)</f>
        <v>041237</v>
      </c>
      <c r="C32" s="812" t="str">
        <f>+HLOOKUP($A32,'[4]EI2014'!$G$1:$BY$6,2,FALSE)</f>
        <v>Közfoglalkoztatási mintaprogram</v>
      </c>
      <c r="D32" s="735" t="str">
        <f>+HLOOKUP($A32,'[4]EI2014'!$G$1:$BY$6,6,FALSE)</f>
        <v>890443-1</v>
      </c>
      <c r="E32" s="826" t="str">
        <f>+HLOOKUP($A32,'[4]EI2014'!$G$1:$BY$6,5,FALSE)</f>
        <v>Egyéb közfoglalkoztatás</v>
      </c>
      <c r="F32" s="736">
        <f t="shared" si="0"/>
        <v>0</v>
      </c>
      <c r="G32" s="737">
        <f t="shared" si="1"/>
        <v>0</v>
      </c>
      <c r="H32" s="705"/>
      <c r="I32" s="706"/>
      <c r="J32" s="706"/>
      <c r="K32" s="707"/>
      <c r="L32" s="737">
        <f t="shared" si="3"/>
        <v>0</v>
      </c>
      <c r="M32" s="705"/>
      <c r="N32" s="706"/>
      <c r="O32" s="707"/>
      <c r="P32" s="736">
        <f t="shared" si="2"/>
        <v>0</v>
      </c>
      <c r="Q32" s="737">
        <f t="shared" si="4"/>
        <v>0</v>
      </c>
      <c r="R32" s="705"/>
      <c r="S32" s="724"/>
      <c r="T32" s="724"/>
      <c r="U32" s="724"/>
      <c r="V32" s="725"/>
      <c r="W32" s="737">
        <f t="shared" si="5"/>
        <v>0</v>
      </c>
      <c r="X32" s="726"/>
      <c r="Y32" s="724"/>
      <c r="Z32" s="725"/>
    </row>
    <row r="33" spans="1:26" ht="12">
      <c r="A33" s="839">
        <f t="shared" si="6"/>
        <v>18</v>
      </c>
      <c r="B33" s="847" t="str">
        <f>+HLOOKUP($A33,'[4]EI2014'!$G$1:$BY$6,4,FALSE)</f>
        <v>042180</v>
      </c>
      <c r="C33" s="812" t="str">
        <f>+HLOOKUP($A33,'[4]EI2014'!$G$1:$BY$6,2,FALSE)</f>
        <v>Állat-egészségügy</v>
      </c>
      <c r="D33" s="735" t="str">
        <f>+HLOOKUP($A33,'[4]EI2014'!$G$1:$BY$6,6,FALSE)</f>
        <v>750000-1</v>
      </c>
      <c r="E33" s="826" t="str">
        <f>+HLOOKUP($A33,'[4]EI2014'!$G$1:$BY$6,5,FALSE)</f>
        <v>Állategészségügyi ellátás</v>
      </c>
      <c r="F33" s="736">
        <f t="shared" si="0"/>
        <v>0</v>
      </c>
      <c r="G33" s="737">
        <f t="shared" si="1"/>
        <v>0</v>
      </c>
      <c r="H33" s="705"/>
      <c r="I33" s="706"/>
      <c r="J33" s="706"/>
      <c r="K33" s="707"/>
      <c r="L33" s="737">
        <f t="shared" si="3"/>
        <v>0</v>
      </c>
      <c r="M33" s="705"/>
      <c r="N33" s="706"/>
      <c r="O33" s="707"/>
      <c r="P33" s="736">
        <f t="shared" si="2"/>
        <v>0</v>
      </c>
      <c r="Q33" s="737">
        <f t="shared" si="4"/>
        <v>0</v>
      </c>
      <c r="R33" s="705"/>
      <c r="S33" s="724"/>
      <c r="T33" s="724"/>
      <c r="U33" s="724"/>
      <c r="V33" s="725"/>
      <c r="W33" s="737">
        <f t="shared" si="5"/>
        <v>0</v>
      </c>
      <c r="X33" s="726"/>
      <c r="Y33" s="724"/>
      <c r="Z33" s="725"/>
    </row>
    <row r="34" spans="1:26" ht="12">
      <c r="A34" s="839">
        <f t="shared" si="6"/>
        <v>19</v>
      </c>
      <c r="B34" s="478" t="str">
        <f>+HLOOKUP($A34,'[4]EI2014'!$G$1:$BY$6,4,FALSE)</f>
        <v>045120</v>
      </c>
      <c r="C34" s="812" t="str">
        <f>+HLOOKUP($A34,'[4]EI2014'!$G$1:$BY$6,2,FALSE)</f>
        <v>Út, autópálya építése</v>
      </c>
      <c r="D34" s="735" t="str">
        <f>+HLOOKUP($A34,'[4]EI2014'!$G$1:$BY$6,6,FALSE)</f>
        <v>421100-1</v>
      </c>
      <c r="E34" s="826" t="str">
        <f>+HLOOKUP($A34,'[4]EI2014'!$G$1:$BY$6,5,FALSE)</f>
        <v>Út, autópálya építése</v>
      </c>
      <c r="F34" s="736">
        <f t="shared" si="0"/>
        <v>0</v>
      </c>
      <c r="G34" s="737">
        <f t="shared" si="1"/>
        <v>0</v>
      </c>
      <c r="H34" s="705"/>
      <c r="I34" s="706"/>
      <c r="J34" s="706"/>
      <c r="K34" s="707"/>
      <c r="L34" s="737">
        <f t="shared" si="3"/>
        <v>0</v>
      </c>
      <c r="M34" s="705"/>
      <c r="N34" s="706"/>
      <c r="O34" s="707"/>
      <c r="P34" s="736">
        <f t="shared" si="2"/>
        <v>0</v>
      </c>
      <c r="Q34" s="737">
        <f t="shared" si="4"/>
        <v>0</v>
      </c>
      <c r="R34" s="705"/>
      <c r="S34" s="724"/>
      <c r="T34" s="724"/>
      <c r="U34" s="724"/>
      <c r="V34" s="725"/>
      <c r="W34" s="737">
        <f t="shared" si="5"/>
        <v>0</v>
      </c>
      <c r="X34" s="726"/>
      <c r="Y34" s="724"/>
      <c r="Z34" s="725"/>
    </row>
    <row r="35" spans="1:26" ht="12">
      <c r="A35" s="839">
        <f t="shared" si="6"/>
        <v>20</v>
      </c>
      <c r="B35" s="475" t="str">
        <f>+HLOOKUP($A35,'[4]EI2014'!$G$1:$BY$6,4,FALSE)</f>
        <v>045140</v>
      </c>
      <c r="C35" s="814" t="str">
        <f>+HLOOKUP($A35,'[4]EI2014'!$G$1:$BY$6,2,FALSE)</f>
        <v>Városi és elővárosi közúti személyszállítás</v>
      </c>
      <c r="D35" s="743" t="str">
        <f>+HLOOKUP($A35,'[4]EI2014'!$G$1:$BY$6,6,FALSE)</f>
        <v>493102-1</v>
      </c>
      <c r="E35" s="827" t="str">
        <f>+HLOOKUP($A35,'[4]EI2014'!$G$1:$BY$6,5,FALSE)</f>
        <v>Városi és elővárosi közúti személyszállítás</v>
      </c>
      <c r="F35" s="744">
        <f t="shared" si="0"/>
        <v>0</v>
      </c>
      <c r="G35" s="745">
        <f t="shared" si="1"/>
        <v>0</v>
      </c>
      <c r="H35" s="705"/>
      <c r="I35" s="706"/>
      <c r="J35" s="706"/>
      <c r="K35" s="707"/>
      <c r="L35" s="745">
        <f t="shared" si="3"/>
        <v>0</v>
      </c>
      <c r="M35" s="705"/>
      <c r="N35" s="706"/>
      <c r="O35" s="707"/>
      <c r="P35" s="736">
        <f t="shared" si="2"/>
        <v>0</v>
      </c>
      <c r="Q35" s="737">
        <f t="shared" si="4"/>
        <v>0</v>
      </c>
      <c r="R35" s="705"/>
      <c r="S35" s="724"/>
      <c r="T35" s="724"/>
      <c r="U35" s="724"/>
      <c r="V35" s="725"/>
      <c r="W35" s="737">
        <f t="shared" si="5"/>
        <v>0</v>
      </c>
      <c r="X35" s="726"/>
      <c r="Y35" s="724"/>
      <c r="Z35" s="725"/>
    </row>
    <row r="36" spans="1:26" ht="12">
      <c r="A36" s="839">
        <f t="shared" si="6"/>
        <v>21</v>
      </c>
      <c r="B36" s="475" t="str">
        <f>+HLOOKUP($A36,'[4]EI2014'!$G$1:$BY$6,4,FALSE)</f>
        <v>045160</v>
      </c>
      <c r="C36" s="814" t="str">
        <f>+HLOOKUP($A36,'[4]EI2014'!$G$1:$BY$6,2,FALSE)</f>
        <v>Közutak, hidak, alagutak üzemeltetése, fenntartása</v>
      </c>
      <c r="D36" s="743" t="str">
        <f>+HLOOKUP($A36,'[4]EI2014'!$G$1:$BY$6,6,FALSE)</f>
        <v>522001-1</v>
      </c>
      <c r="E36" s="827" t="str">
        <f>+HLOOKUP($A36,'[4]EI2014'!$G$1:$BY$6,5,FALSE)</f>
        <v>Közutak, hidak, alagutak üzemeltetése, fenntartása</v>
      </c>
      <c r="F36" s="744">
        <f t="shared" si="0"/>
        <v>0</v>
      </c>
      <c r="G36" s="745">
        <f t="shared" si="1"/>
        <v>0</v>
      </c>
      <c r="H36" s="705"/>
      <c r="I36" s="706"/>
      <c r="J36" s="706"/>
      <c r="K36" s="707"/>
      <c r="L36" s="745">
        <f t="shared" si="3"/>
        <v>0</v>
      </c>
      <c r="M36" s="705"/>
      <c r="N36" s="706"/>
      <c r="O36" s="707"/>
      <c r="P36" s="736">
        <f t="shared" si="2"/>
        <v>0</v>
      </c>
      <c r="Q36" s="737">
        <f t="shared" si="4"/>
        <v>0</v>
      </c>
      <c r="R36" s="705"/>
      <c r="S36" s="724"/>
      <c r="T36" s="724"/>
      <c r="U36" s="724"/>
      <c r="V36" s="725"/>
      <c r="W36" s="737">
        <f t="shared" si="5"/>
        <v>0</v>
      </c>
      <c r="X36" s="726"/>
      <c r="Y36" s="724"/>
      <c r="Z36" s="725"/>
    </row>
    <row r="37" spans="1:26" s="1201" customFormat="1" ht="12" customHeight="1">
      <c r="A37" s="1251" t="s">
        <v>1336</v>
      </c>
      <c r="B37" s="1252"/>
      <c r="C37" s="1252"/>
      <c r="D37" s="1252"/>
      <c r="E37" s="1253"/>
      <c r="F37" s="1193">
        <f t="shared" si="0"/>
        <v>0</v>
      </c>
      <c r="G37" s="1194">
        <f t="shared" si="1"/>
        <v>0</v>
      </c>
      <c r="H37" s="1195"/>
      <c r="I37" s="1196"/>
      <c r="J37" s="1196"/>
      <c r="K37" s="1197"/>
      <c r="L37" s="1194">
        <f t="shared" si="3"/>
        <v>0</v>
      </c>
      <c r="M37" s="1195"/>
      <c r="N37" s="1196"/>
      <c r="O37" s="1197"/>
      <c r="P37" s="1193">
        <f t="shared" si="2"/>
        <v>-4000</v>
      </c>
      <c r="Q37" s="1194">
        <f t="shared" si="4"/>
        <v>-4000</v>
      </c>
      <c r="R37" s="1195"/>
      <c r="S37" s="1198"/>
      <c r="T37" s="1198">
        <v>-4000</v>
      </c>
      <c r="U37" s="1198"/>
      <c r="V37" s="1199"/>
      <c r="W37" s="1194">
        <f t="shared" si="5"/>
        <v>0</v>
      </c>
      <c r="X37" s="1200"/>
      <c r="Y37" s="1198"/>
      <c r="Z37" s="1199"/>
    </row>
    <row r="38" spans="1:26" s="1201" customFormat="1" ht="12" customHeight="1">
      <c r="A38" s="1251" t="s">
        <v>1332</v>
      </c>
      <c r="B38" s="1252"/>
      <c r="C38" s="1252"/>
      <c r="D38" s="1252"/>
      <c r="E38" s="1253"/>
      <c r="F38" s="1193">
        <f t="shared" si="0"/>
        <v>0</v>
      </c>
      <c r="G38" s="1194">
        <f t="shared" si="1"/>
        <v>0</v>
      </c>
      <c r="H38" s="1195"/>
      <c r="I38" s="1196"/>
      <c r="J38" s="1196"/>
      <c r="K38" s="1197"/>
      <c r="L38" s="1194">
        <f t="shared" si="3"/>
        <v>0</v>
      </c>
      <c r="M38" s="1195"/>
      <c r="N38" s="1196"/>
      <c r="O38" s="1197"/>
      <c r="P38" s="1193">
        <f t="shared" si="2"/>
        <v>-10000</v>
      </c>
      <c r="Q38" s="1194">
        <f t="shared" si="4"/>
        <v>-10000</v>
      </c>
      <c r="R38" s="1195"/>
      <c r="S38" s="1198"/>
      <c r="T38" s="1198">
        <v>-10000</v>
      </c>
      <c r="U38" s="1198"/>
      <c r="V38" s="1199"/>
      <c r="W38" s="1194">
        <f t="shared" si="5"/>
        <v>0</v>
      </c>
      <c r="X38" s="1200"/>
      <c r="Y38" s="1198"/>
      <c r="Z38" s="1199"/>
    </row>
    <row r="39" spans="1:26" s="748" customFormat="1" ht="12">
      <c r="A39" s="839">
        <f>+A36+1</f>
        <v>22</v>
      </c>
      <c r="B39" s="478" t="str">
        <f>+HLOOKUP($A39,'[4]EI2014'!$G$1:$BY$6,4,FALSE)</f>
        <v>047410</v>
      </c>
      <c r="C39" s="812" t="str">
        <f>+HLOOKUP($A39,'[4]EI2014'!$G$1:$BY$6,2,FALSE)</f>
        <v>Ár- és belvízvédelemmel összefüggő tevékenységek</v>
      </c>
      <c r="D39" s="735" t="str">
        <f>+HLOOKUP($A39,'[4]EI2014'!$G$1:$BY$6,6,FALSE)</f>
        <v> 842541-1 </v>
      </c>
      <c r="E39" s="826" t="str">
        <f>+HLOOKUP($A39,'[4]EI2014'!$G$1:$BY$6,5,FALSE)</f>
        <v>Ár- és belvízvédelemmel összefüggő tevékenységek</v>
      </c>
      <c r="F39" s="736">
        <f t="shared" si="0"/>
        <v>0</v>
      </c>
      <c r="G39" s="737">
        <f t="shared" si="1"/>
        <v>0</v>
      </c>
      <c r="H39" s="705"/>
      <c r="I39" s="706"/>
      <c r="J39" s="706"/>
      <c r="K39" s="707"/>
      <c r="L39" s="737">
        <f t="shared" si="3"/>
        <v>0</v>
      </c>
      <c r="M39" s="705"/>
      <c r="N39" s="706"/>
      <c r="O39" s="707"/>
      <c r="P39" s="736">
        <f t="shared" si="2"/>
        <v>0</v>
      </c>
      <c r="Q39" s="737">
        <f t="shared" si="4"/>
        <v>0</v>
      </c>
      <c r="R39" s="705"/>
      <c r="S39" s="724"/>
      <c r="T39" s="724"/>
      <c r="U39" s="724"/>
      <c r="V39" s="725"/>
      <c r="W39" s="737">
        <f t="shared" si="5"/>
        <v>0</v>
      </c>
      <c r="X39" s="726"/>
      <c r="Y39" s="724"/>
      <c r="Z39" s="725"/>
    </row>
    <row r="40" spans="1:26" s="748" customFormat="1" ht="12">
      <c r="A40" s="839">
        <f t="shared" si="6"/>
        <v>23</v>
      </c>
      <c r="B40" s="478" t="str">
        <f>+HLOOKUP($A40,'[4]EI2014'!$G$1:$BY$6,4,FALSE)</f>
        <v>051030</v>
      </c>
      <c r="C40" s="812" t="str">
        <f>+HLOOKUP($A40,'[4]EI2014'!$G$1:$BY$6,2,FALSE)</f>
        <v>Nem veszélyes (települési) hulladék vegyes (ömlesztett) begyűjtése, szállítása, átrakása</v>
      </c>
      <c r="D40" s="735" t="str">
        <f>+HLOOKUP($A40,'[4]EI2014'!$G$1:$BY$6,6,FALSE)</f>
        <v>381103-1</v>
      </c>
      <c r="E40" s="826" t="str">
        <f>+HLOOKUP($A40,'[4]EI2014'!$G$1:$BY$6,5,FALSE)</f>
        <v>Települési hulladék vegyes (ömlesztett) 
begyűjtése, szállítása, átrakása</v>
      </c>
      <c r="F40" s="736">
        <f t="shared" si="0"/>
        <v>0</v>
      </c>
      <c r="G40" s="737">
        <f t="shared" si="1"/>
        <v>0</v>
      </c>
      <c r="H40" s="705"/>
      <c r="I40" s="706"/>
      <c r="J40" s="706"/>
      <c r="K40" s="707"/>
      <c r="L40" s="737">
        <f t="shared" si="3"/>
        <v>0</v>
      </c>
      <c r="M40" s="705"/>
      <c r="N40" s="706"/>
      <c r="O40" s="707"/>
      <c r="P40" s="736">
        <f t="shared" si="2"/>
        <v>0</v>
      </c>
      <c r="Q40" s="737">
        <f t="shared" si="4"/>
        <v>0</v>
      </c>
      <c r="R40" s="705"/>
      <c r="S40" s="724"/>
      <c r="T40" s="724"/>
      <c r="U40" s="724"/>
      <c r="V40" s="725"/>
      <c r="W40" s="737">
        <f t="shared" si="5"/>
        <v>0</v>
      </c>
      <c r="X40" s="726"/>
      <c r="Y40" s="724"/>
      <c r="Z40" s="725"/>
    </row>
    <row r="41" spans="1:26" s="748" customFormat="1" ht="12">
      <c r="A41" s="839">
        <f t="shared" si="6"/>
        <v>24</v>
      </c>
      <c r="B41" s="478" t="str">
        <f>+HLOOKUP($A41,'[4]EI2014'!$G$1:$BY$6,4,FALSE)</f>
        <v>063020</v>
      </c>
      <c r="C41" s="812" t="str">
        <f>+HLOOKUP($A41,'[4]EI2014'!$G$1:$BY$6,2,FALSE)</f>
        <v>Víztermelés, -kezelés, -ellátás</v>
      </c>
      <c r="D41" s="735" t="str">
        <f>+HLOOKUP($A41,'[4]EI2014'!$G$1:$BY$6,6,FALSE)</f>
        <v>360000-1</v>
      </c>
      <c r="E41" s="826" t="str">
        <f>+HLOOKUP($A41,'[4]EI2014'!$G$1:$BY$6,5,FALSE)</f>
        <v>Víztermelés-, kezelés-, ellátás</v>
      </c>
      <c r="F41" s="736">
        <f t="shared" si="0"/>
        <v>0</v>
      </c>
      <c r="G41" s="737">
        <f t="shared" si="1"/>
        <v>0</v>
      </c>
      <c r="H41" s="705"/>
      <c r="I41" s="706"/>
      <c r="J41" s="706"/>
      <c r="K41" s="707"/>
      <c r="L41" s="737">
        <f t="shared" si="3"/>
        <v>0</v>
      </c>
      <c r="M41" s="705"/>
      <c r="N41" s="706"/>
      <c r="O41" s="707"/>
      <c r="P41" s="744">
        <f t="shared" si="2"/>
        <v>0</v>
      </c>
      <c r="Q41" s="745">
        <f t="shared" si="4"/>
        <v>0</v>
      </c>
      <c r="R41" s="705"/>
      <c r="S41" s="746"/>
      <c r="T41" s="746"/>
      <c r="U41" s="746"/>
      <c r="V41" s="573"/>
      <c r="W41" s="745">
        <f t="shared" si="5"/>
        <v>0</v>
      </c>
      <c r="X41" s="747"/>
      <c r="Y41" s="746"/>
      <c r="Z41" s="573"/>
    </row>
    <row r="42" spans="1:26" s="748" customFormat="1" ht="12">
      <c r="A42" s="839">
        <f t="shared" si="6"/>
        <v>25</v>
      </c>
      <c r="B42" s="478" t="str">
        <f>+HLOOKUP($A42,'[4]EI2014'!$G$1:$BY$6,4,FALSE)</f>
        <v>064010</v>
      </c>
      <c r="C42" s="812" t="str">
        <f>+HLOOKUP($A42,'[4]EI2014'!$G$1:$BY$6,2,FALSE)</f>
        <v>Közvilágítás</v>
      </c>
      <c r="D42" s="735" t="str">
        <f>+HLOOKUP($A42,'[4]EI2014'!$G$1:$BY$6,6,FALSE)</f>
        <v>841402-1</v>
      </c>
      <c r="E42" s="826" t="str">
        <f>+HLOOKUP($A42,'[4]EI2014'!$G$1:$BY$6,5,FALSE)</f>
        <v>Közvilágítás</v>
      </c>
      <c r="F42" s="736">
        <f t="shared" si="0"/>
        <v>0</v>
      </c>
      <c r="G42" s="737">
        <f t="shared" si="1"/>
        <v>0</v>
      </c>
      <c r="H42" s="705"/>
      <c r="I42" s="706"/>
      <c r="J42" s="706"/>
      <c r="K42" s="707"/>
      <c r="L42" s="737">
        <f t="shared" si="3"/>
        <v>0</v>
      </c>
      <c r="M42" s="705"/>
      <c r="N42" s="706"/>
      <c r="O42" s="707"/>
      <c r="P42" s="744">
        <f t="shared" si="2"/>
        <v>0</v>
      </c>
      <c r="Q42" s="745">
        <f t="shared" si="4"/>
        <v>0</v>
      </c>
      <c r="R42" s="705"/>
      <c r="S42" s="746"/>
      <c r="T42" s="746"/>
      <c r="U42" s="746"/>
      <c r="V42" s="573"/>
      <c r="W42" s="745">
        <f t="shared" si="5"/>
        <v>0</v>
      </c>
      <c r="X42" s="747"/>
      <c r="Y42" s="746"/>
      <c r="Z42" s="573"/>
    </row>
    <row r="43" spans="1:26" s="748" customFormat="1" ht="12">
      <c r="A43" s="839">
        <f t="shared" si="6"/>
        <v>26</v>
      </c>
      <c r="B43" s="478" t="str">
        <f>+HLOOKUP($A43,'[4]EI2014'!$G$1:$BY$6,4,FALSE)</f>
        <v>066010</v>
      </c>
      <c r="C43" s="812" t="str">
        <f>+HLOOKUP($A43,'[4]EI2014'!$G$1:$BY$6,2,FALSE)</f>
        <v>Zöldterület-kezelés</v>
      </c>
      <c r="D43" s="735" t="str">
        <f>+HLOOKUP($A43,'[4]EI2014'!$G$1:$BY$6,6,FALSE)</f>
        <v>813000-1</v>
      </c>
      <c r="E43" s="826" t="str">
        <f>+HLOOKUP($A43,'[4]EI2014'!$G$1:$BY$6,5,FALSE)</f>
        <v>Zöldterület-kezelés</v>
      </c>
      <c r="F43" s="736">
        <f t="shared" si="0"/>
        <v>0</v>
      </c>
      <c r="G43" s="737">
        <f t="shared" si="1"/>
        <v>0</v>
      </c>
      <c r="H43" s="705"/>
      <c r="I43" s="706"/>
      <c r="J43" s="706"/>
      <c r="K43" s="707"/>
      <c r="L43" s="737">
        <f t="shared" si="3"/>
        <v>0</v>
      </c>
      <c r="M43" s="705"/>
      <c r="N43" s="706"/>
      <c r="O43" s="707"/>
      <c r="P43" s="744">
        <f t="shared" si="2"/>
        <v>0</v>
      </c>
      <c r="Q43" s="745">
        <f t="shared" si="4"/>
        <v>0</v>
      </c>
      <c r="R43" s="705"/>
      <c r="S43" s="746"/>
      <c r="T43" s="746"/>
      <c r="U43" s="746"/>
      <c r="V43" s="573"/>
      <c r="W43" s="745">
        <f t="shared" si="5"/>
        <v>0</v>
      </c>
      <c r="X43" s="747"/>
      <c r="Y43" s="746"/>
      <c r="Z43" s="573"/>
    </row>
    <row r="44" spans="1:26" s="748" customFormat="1" ht="12">
      <c r="A44" s="839">
        <f t="shared" si="6"/>
        <v>27</v>
      </c>
      <c r="B44" s="478" t="str">
        <f>+HLOOKUP($A44,'[4]EI2014'!$G$1:$BY$6,4,FALSE)</f>
        <v>066020</v>
      </c>
      <c r="C44" s="812" t="str">
        <f>+HLOOKUP($A44,'[4]EI2014'!$G$1:$BY$6,2,FALSE)</f>
        <v>Város-, községgazdálkodási m.n.s. szolgáltatások </v>
      </c>
      <c r="D44" s="735" t="str">
        <f>+HLOOKUP($A44,'[4]EI2014'!$G$1:$BY$6,6,FALSE)</f>
        <v>841403-1</v>
      </c>
      <c r="E44" s="826" t="str">
        <f>+HLOOKUP($A44,'[4]EI2014'!$G$1:$BY$6,5,FALSE)</f>
        <v>Város-, községgazdálkodási m.n.s. szolgáltatások </v>
      </c>
      <c r="F44" s="736">
        <f t="shared" si="0"/>
        <v>0</v>
      </c>
      <c r="G44" s="737">
        <f t="shared" si="1"/>
        <v>0</v>
      </c>
      <c r="H44" s="705"/>
      <c r="I44" s="706"/>
      <c r="J44" s="706"/>
      <c r="K44" s="707"/>
      <c r="L44" s="737">
        <f t="shared" si="3"/>
        <v>0</v>
      </c>
      <c r="M44" s="705"/>
      <c r="N44" s="706"/>
      <c r="O44" s="707"/>
      <c r="P44" s="736">
        <f t="shared" si="2"/>
        <v>0</v>
      </c>
      <c r="Q44" s="737">
        <f t="shared" si="4"/>
        <v>0</v>
      </c>
      <c r="R44" s="705"/>
      <c r="S44" s="724"/>
      <c r="T44" s="724"/>
      <c r="U44" s="724"/>
      <c r="V44" s="725"/>
      <c r="W44" s="737">
        <f t="shared" si="5"/>
        <v>0</v>
      </c>
      <c r="X44" s="726"/>
      <c r="Y44" s="724"/>
      <c r="Z44" s="725"/>
    </row>
    <row r="45" spans="1:26" s="1201" customFormat="1" ht="12" customHeight="1">
      <c r="A45" s="1251" t="s">
        <v>1337</v>
      </c>
      <c r="B45" s="1252"/>
      <c r="C45" s="1252"/>
      <c r="D45" s="1252"/>
      <c r="E45" s="1253"/>
      <c r="F45" s="1193">
        <f t="shared" si="0"/>
        <v>3000</v>
      </c>
      <c r="G45" s="1194">
        <f t="shared" si="1"/>
        <v>3000</v>
      </c>
      <c r="H45" s="1195">
        <v>3000</v>
      </c>
      <c r="I45" s="1196"/>
      <c r="J45" s="1196"/>
      <c r="K45" s="1197"/>
      <c r="L45" s="1194">
        <f t="shared" si="3"/>
        <v>0</v>
      </c>
      <c r="M45" s="1195"/>
      <c r="N45" s="1196"/>
      <c r="O45" s="1197"/>
      <c r="P45" s="1193">
        <f t="shared" si="2"/>
        <v>0</v>
      </c>
      <c r="Q45" s="1194">
        <f t="shared" si="4"/>
        <v>0</v>
      </c>
      <c r="R45" s="1195"/>
      <c r="S45" s="1198"/>
      <c r="T45" s="1198"/>
      <c r="U45" s="1198"/>
      <c r="V45" s="1199"/>
      <c r="W45" s="1194">
        <f t="shared" si="5"/>
        <v>0</v>
      </c>
      <c r="X45" s="1200"/>
      <c r="Y45" s="1198"/>
      <c r="Z45" s="1199"/>
    </row>
    <row r="46" spans="1:26" s="748" customFormat="1" ht="12">
      <c r="A46" s="839">
        <f>+A44+1</f>
        <v>28</v>
      </c>
      <c r="B46" s="478" t="str">
        <f>+HLOOKUP($A46,'[4]EI2014'!$G$1:$BY$6,4,FALSE)</f>
        <v>072210</v>
      </c>
      <c r="C46" s="812" t="str">
        <f>+HLOOKUP($A46,'[4]EI2014'!$G$1:$BY$6,2,FALSE)</f>
        <v>Járóbetegek gyógyító szakellátása</v>
      </c>
      <c r="D46" s="735" t="str">
        <f>+HLOOKUP($A46,'[4]EI2014'!$G$1:$BY$6,6,FALSE)</f>
        <v>862211-1</v>
      </c>
      <c r="E46" s="826" t="str">
        <f>+HLOOKUP($A46,'[4]EI2014'!$G$1:$BY$6,5,FALSE)</f>
        <v>Járóbetegek gyógyító szakellátása</v>
      </c>
      <c r="F46" s="736">
        <f>+G46+L46</f>
        <v>0</v>
      </c>
      <c r="G46" s="737">
        <f t="shared" si="1"/>
        <v>0</v>
      </c>
      <c r="H46" s="705"/>
      <c r="I46" s="706"/>
      <c r="J46" s="706"/>
      <c r="K46" s="707"/>
      <c r="L46" s="737">
        <f t="shared" si="3"/>
        <v>0</v>
      </c>
      <c r="M46" s="705"/>
      <c r="N46" s="706"/>
      <c r="O46" s="707"/>
      <c r="P46" s="736">
        <f t="shared" si="2"/>
        <v>0</v>
      </c>
      <c r="Q46" s="737">
        <f t="shared" si="4"/>
        <v>0</v>
      </c>
      <c r="R46" s="705"/>
      <c r="S46" s="724"/>
      <c r="T46" s="724"/>
      <c r="U46" s="724"/>
      <c r="V46" s="725"/>
      <c r="W46" s="737">
        <f t="shared" si="5"/>
        <v>0</v>
      </c>
      <c r="X46" s="726"/>
      <c r="Y46" s="724"/>
      <c r="Z46" s="725"/>
    </row>
    <row r="47" spans="1:26" s="1201" customFormat="1" ht="12" customHeight="1">
      <c r="A47" s="1251" t="s">
        <v>1338</v>
      </c>
      <c r="B47" s="1252"/>
      <c r="C47" s="1252"/>
      <c r="D47" s="1252"/>
      <c r="E47" s="1253"/>
      <c r="F47" s="1193">
        <f>+G47+L47</f>
        <v>-105</v>
      </c>
      <c r="G47" s="1194">
        <f t="shared" si="1"/>
        <v>0</v>
      </c>
      <c r="H47" s="1195"/>
      <c r="I47" s="1196"/>
      <c r="J47" s="1196"/>
      <c r="K47" s="1197"/>
      <c r="L47" s="1194">
        <f t="shared" si="3"/>
        <v>-105</v>
      </c>
      <c r="M47" s="1195">
        <v>-105</v>
      </c>
      <c r="N47" s="1196"/>
      <c r="O47" s="1197"/>
      <c r="P47" s="1193">
        <f t="shared" si="2"/>
        <v>0</v>
      </c>
      <c r="Q47" s="1194">
        <f t="shared" si="4"/>
        <v>0</v>
      </c>
      <c r="R47" s="1195"/>
      <c r="S47" s="1198"/>
      <c r="T47" s="1198"/>
      <c r="U47" s="1198"/>
      <c r="V47" s="1199"/>
      <c r="W47" s="1194">
        <f t="shared" si="5"/>
        <v>0</v>
      </c>
      <c r="X47" s="1200"/>
      <c r="Y47" s="1198"/>
      <c r="Z47" s="1199"/>
    </row>
    <row r="48" spans="1:26" s="748" customFormat="1" ht="12">
      <c r="A48" s="839">
        <f>+A46+1</f>
        <v>29</v>
      </c>
      <c r="B48" s="585" t="str">
        <f>+HLOOKUP($A48,'[4]EI2014'!$G$1:$BY$6,4,FALSE)</f>
        <v>081030</v>
      </c>
      <c r="C48" s="811" t="str">
        <f>+HLOOKUP($A48,'[4]EI2014'!$G$1:$BY$6,2,FALSE)</f>
        <v>Sportlétesítmények, edzőtáborok működtetése és fejlesztése</v>
      </c>
      <c r="D48" s="735" t="str">
        <f>+HLOOKUP($A48,'[4]EI2014'!$G$1:$BY$6,6,FALSE)</f>
        <v>931102-1</v>
      </c>
      <c r="E48" s="822" t="str">
        <f>+HLOOKUP($A48,'[4]EI2014'!$G$1:$BY$6,5,FALSE)</f>
        <v>Sportlétesítmények működtetése és fejlesztése </v>
      </c>
      <c r="F48" s="736">
        <f t="shared" si="0"/>
        <v>0</v>
      </c>
      <c r="G48" s="737">
        <f t="shared" si="1"/>
        <v>0</v>
      </c>
      <c r="H48" s="705"/>
      <c r="I48" s="706"/>
      <c r="J48" s="706"/>
      <c r="K48" s="707"/>
      <c r="L48" s="737">
        <f t="shared" si="3"/>
        <v>0</v>
      </c>
      <c r="M48" s="705"/>
      <c r="N48" s="706"/>
      <c r="O48" s="707"/>
      <c r="P48" s="736">
        <f t="shared" si="2"/>
        <v>0</v>
      </c>
      <c r="Q48" s="737">
        <f t="shared" si="4"/>
        <v>0</v>
      </c>
      <c r="R48" s="705"/>
      <c r="S48" s="724"/>
      <c r="T48" s="724"/>
      <c r="U48" s="724"/>
      <c r="V48" s="725"/>
      <c r="W48" s="737">
        <f t="shared" si="5"/>
        <v>0</v>
      </c>
      <c r="X48" s="726"/>
      <c r="Y48" s="724"/>
      <c r="Z48" s="725"/>
    </row>
    <row r="49" spans="1:26" s="748" customFormat="1" ht="12">
      <c r="A49" s="839">
        <f t="shared" si="6"/>
        <v>30</v>
      </c>
      <c r="B49" s="585" t="str">
        <f>+HLOOKUP($A49,'[4]EI2014'!$G$1:$BY$6,4,FALSE)</f>
        <v>081041</v>
      </c>
      <c r="C49" s="811" t="str">
        <f>+HLOOKUP($A49,'[4]EI2014'!$G$1:$BY$6,2,FALSE)</f>
        <v>Versenysport-és utánpótlás-nevelési tevékenység</v>
      </c>
      <c r="D49" s="735" t="str">
        <f>+HLOOKUP($A49,'[4]EI2014'!$G$1:$BY$6,6,FALSE)</f>
        <v>931201-1</v>
      </c>
      <c r="E49" s="822" t="str">
        <f>+HLOOKUP($A49,'[4]EI2014'!$G$1:$BY$6,5,FALSE)</f>
        <v>Versenysport-tevékenység és támogatása </v>
      </c>
      <c r="F49" s="736">
        <f t="shared" si="0"/>
        <v>0</v>
      </c>
      <c r="G49" s="737">
        <f t="shared" si="1"/>
        <v>0</v>
      </c>
      <c r="H49" s="705"/>
      <c r="I49" s="706"/>
      <c r="J49" s="706"/>
      <c r="K49" s="707"/>
      <c r="L49" s="737">
        <f t="shared" si="3"/>
        <v>0</v>
      </c>
      <c r="M49" s="705"/>
      <c r="N49" s="706"/>
      <c r="O49" s="707"/>
      <c r="P49" s="736">
        <f t="shared" si="2"/>
        <v>0</v>
      </c>
      <c r="Q49" s="737">
        <f t="shared" si="4"/>
        <v>0</v>
      </c>
      <c r="R49" s="705"/>
      <c r="S49" s="724"/>
      <c r="T49" s="724"/>
      <c r="U49" s="724"/>
      <c r="V49" s="725"/>
      <c r="W49" s="737">
        <f t="shared" si="5"/>
        <v>0</v>
      </c>
      <c r="X49" s="726"/>
      <c r="Y49" s="724"/>
      <c r="Z49" s="725"/>
    </row>
    <row r="50" spans="1:26" s="1201" customFormat="1" ht="12" customHeight="1">
      <c r="A50" s="1251" t="s">
        <v>1333</v>
      </c>
      <c r="B50" s="1252"/>
      <c r="C50" s="1252"/>
      <c r="D50" s="1252"/>
      <c r="E50" s="1253"/>
      <c r="F50" s="1193">
        <f t="shared" si="0"/>
        <v>0</v>
      </c>
      <c r="G50" s="1194">
        <f t="shared" si="1"/>
        <v>0</v>
      </c>
      <c r="H50" s="1195"/>
      <c r="I50" s="1196"/>
      <c r="J50" s="1196"/>
      <c r="K50" s="1197"/>
      <c r="L50" s="1194">
        <f t="shared" si="3"/>
        <v>0</v>
      </c>
      <c r="M50" s="1195"/>
      <c r="N50" s="1196"/>
      <c r="O50" s="1197"/>
      <c r="P50" s="1193">
        <f t="shared" si="2"/>
        <v>-1800</v>
      </c>
      <c r="Q50" s="1194">
        <f t="shared" si="4"/>
        <v>-1800</v>
      </c>
      <c r="R50" s="1195"/>
      <c r="S50" s="1198"/>
      <c r="T50" s="1198"/>
      <c r="U50" s="1198"/>
      <c r="V50" s="1199">
        <f>-600-1000-200</f>
        <v>-1800</v>
      </c>
      <c r="W50" s="1194">
        <f t="shared" si="5"/>
        <v>0</v>
      </c>
      <c r="X50" s="1200"/>
      <c r="Y50" s="1198"/>
      <c r="Z50" s="1199"/>
    </row>
    <row r="51" spans="1:26" s="748" customFormat="1" ht="12">
      <c r="A51" s="839">
        <f>+A49+1</f>
        <v>31</v>
      </c>
      <c r="B51" s="585" t="str">
        <f>+HLOOKUP($A51,'[4]EI2014'!$G$1:$BY$6,4,FALSE)</f>
        <v>086020</v>
      </c>
      <c r="C51" s="811" t="str">
        <f>+HLOOKUP($A51,'[4]EI2014'!$G$1:$BY$6,2,FALSE)</f>
        <v>Helyi közösségi tér biztosítása, működtetése</v>
      </c>
      <c r="D51" s="735" t="str">
        <f>+HLOOKUP($A51,'[4]EI2014'!$G$1:$BY$6,6,FALSE)</f>
        <v>890505-1</v>
      </c>
      <c r="E51" s="822" t="str">
        <f>+HLOOKUP($A51,'[4]EI2014'!$G$1:$BY$6,5,FALSE)</f>
        <v>Helyi közösségi tér biztosítása, működtetése</v>
      </c>
      <c r="F51" s="736">
        <f t="shared" si="0"/>
        <v>0</v>
      </c>
      <c r="G51" s="737">
        <f t="shared" si="1"/>
        <v>0</v>
      </c>
      <c r="H51" s="705"/>
      <c r="I51" s="706"/>
      <c r="J51" s="706"/>
      <c r="K51" s="707"/>
      <c r="L51" s="737">
        <f t="shared" si="3"/>
        <v>0</v>
      </c>
      <c r="M51" s="705"/>
      <c r="N51" s="706"/>
      <c r="O51" s="707"/>
      <c r="P51" s="736">
        <f t="shared" si="2"/>
        <v>0</v>
      </c>
      <c r="Q51" s="737">
        <f t="shared" si="4"/>
        <v>0</v>
      </c>
      <c r="R51" s="705"/>
      <c r="S51" s="724"/>
      <c r="T51" s="724"/>
      <c r="U51" s="724"/>
      <c r="V51" s="725"/>
      <c r="W51" s="737">
        <f t="shared" si="5"/>
        <v>0</v>
      </c>
      <c r="X51" s="726"/>
      <c r="Y51" s="724"/>
      <c r="Z51" s="725"/>
    </row>
    <row r="52" spans="1:26" s="748" customFormat="1" ht="12">
      <c r="A52" s="839">
        <f t="shared" si="6"/>
        <v>32</v>
      </c>
      <c r="B52" s="585" t="str">
        <f>+HLOOKUP($A52,'[4]EI2014'!$G$1:$BY$6,4,FALSE)</f>
        <v>101150</v>
      </c>
      <c r="C52" s="811" t="str">
        <f>+HLOOKUP($A52,'[4]EI2014'!$G$1:$BY$6,2,FALSE)</f>
        <v>Betegséggel kapcsolatos pénzbeli ellátások, támogatások</v>
      </c>
      <c r="D52" s="735" t="str">
        <f>+HLOOKUP($A52,'[4]EI2014'!$G$1:$BY$6,6,FALSE)</f>
        <v>882115-1</v>
      </c>
      <c r="E52" s="822" t="str">
        <f>+HLOOKUP($A52,'[4]EI2014'!$G$1:$BY$6,5,FALSE)</f>
        <v>Ápolási díj alanyi jogon</v>
      </c>
      <c r="F52" s="736">
        <f t="shared" si="0"/>
        <v>0</v>
      </c>
      <c r="G52" s="737">
        <f t="shared" si="1"/>
        <v>0</v>
      </c>
      <c r="H52" s="705"/>
      <c r="I52" s="706"/>
      <c r="J52" s="706"/>
      <c r="K52" s="707"/>
      <c r="L52" s="737">
        <f t="shared" si="3"/>
        <v>0</v>
      </c>
      <c r="M52" s="705"/>
      <c r="N52" s="706"/>
      <c r="O52" s="707"/>
      <c r="P52" s="736">
        <f t="shared" si="2"/>
        <v>0</v>
      </c>
      <c r="Q52" s="737">
        <f t="shared" si="4"/>
        <v>0</v>
      </c>
      <c r="R52" s="705"/>
      <c r="S52" s="724"/>
      <c r="T52" s="724"/>
      <c r="U52" s="724"/>
      <c r="V52" s="725"/>
      <c r="W52" s="737">
        <f t="shared" si="5"/>
        <v>0</v>
      </c>
      <c r="X52" s="726"/>
      <c r="Y52" s="724"/>
      <c r="Z52" s="725"/>
    </row>
    <row r="53" spans="1:26" s="748" customFormat="1" ht="12">
      <c r="A53" s="839">
        <f t="shared" si="6"/>
        <v>33</v>
      </c>
      <c r="B53" s="585" t="str">
        <f>+HLOOKUP($A53,'[4]EI2014'!$G$1:$BY$6,4,FALSE)</f>
        <v>101150</v>
      </c>
      <c r="C53" s="811" t="str">
        <f>+HLOOKUP($A53,'[4]EI2014'!$G$1:$BY$6,2,FALSE)</f>
        <v>Betegséggel kapcsolatos pénzbeli ellátások, támogatások</v>
      </c>
      <c r="D53" s="735" t="str">
        <f>+HLOOKUP($A53,'[4]EI2014'!$G$1:$BY$6,6,FALSE)</f>
        <v>882202-1</v>
      </c>
      <c r="E53" s="822" t="str">
        <f>+HLOOKUP($A53,'[4]EI2014'!$G$1:$BY$6,5,FALSE)</f>
        <v>Közgyógyellátás </v>
      </c>
      <c r="F53" s="736">
        <f>+G53+L53</f>
        <v>0</v>
      </c>
      <c r="G53" s="737">
        <f>+H53+I53+J53+K53</f>
        <v>0</v>
      </c>
      <c r="H53" s="705"/>
      <c r="I53" s="706"/>
      <c r="J53" s="706"/>
      <c r="K53" s="707"/>
      <c r="L53" s="737">
        <f>+M53+N53+O53</f>
        <v>0</v>
      </c>
      <c r="M53" s="705"/>
      <c r="N53" s="706"/>
      <c r="O53" s="707"/>
      <c r="P53" s="736">
        <f t="shared" si="2"/>
        <v>0</v>
      </c>
      <c r="Q53" s="737">
        <f t="shared" si="4"/>
        <v>0</v>
      </c>
      <c r="R53" s="705"/>
      <c r="S53" s="724"/>
      <c r="T53" s="724"/>
      <c r="U53" s="724"/>
      <c r="V53" s="725"/>
      <c r="W53" s="737">
        <f t="shared" si="5"/>
        <v>0</v>
      </c>
      <c r="X53" s="726"/>
      <c r="Y53" s="724"/>
      <c r="Z53" s="725"/>
    </row>
    <row r="54" spans="1:26" s="1201" customFormat="1" ht="12" customHeight="1">
      <c r="A54" s="1251" t="s">
        <v>1339</v>
      </c>
      <c r="B54" s="1252"/>
      <c r="C54" s="1252"/>
      <c r="D54" s="1252"/>
      <c r="E54" s="1253"/>
      <c r="F54" s="1193">
        <f>+G54+L54</f>
        <v>0</v>
      </c>
      <c r="G54" s="1194">
        <f>+H54+I54+J54+K54</f>
        <v>0</v>
      </c>
      <c r="H54" s="1195"/>
      <c r="I54" s="1196"/>
      <c r="J54" s="1196"/>
      <c r="K54" s="1197"/>
      <c r="L54" s="1194">
        <f>+M54+N54+O54</f>
        <v>0</v>
      </c>
      <c r="M54" s="1195"/>
      <c r="N54" s="1196"/>
      <c r="O54" s="1197"/>
      <c r="P54" s="1193">
        <f t="shared" si="2"/>
        <v>-2063</v>
      </c>
      <c r="Q54" s="1194">
        <f t="shared" si="4"/>
        <v>-2063</v>
      </c>
      <c r="R54" s="1195"/>
      <c r="S54" s="1198"/>
      <c r="T54" s="1198"/>
      <c r="U54" s="1198">
        <v>-2063</v>
      </c>
      <c r="V54" s="1199"/>
      <c r="W54" s="1194">
        <f t="shared" si="5"/>
        <v>0</v>
      </c>
      <c r="X54" s="1200"/>
      <c r="Y54" s="1198"/>
      <c r="Z54" s="1199"/>
    </row>
    <row r="55" spans="1:26" s="748" customFormat="1" ht="12">
      <c r="A55" s="839">
        <f>+A53+1</f>
        <v>34</v>
      </c>
      <c r="B55" s="585" t="str">
        <f>+HLOOKUP($A55,'[4]EI2014'!$G$1:$BY$6,4,FALSE)</f>
        <v>101231</v>
      </c>
      <c r="C55" s="811" t="str">
        <f>+HLOOKUP($A55,'[4]EI2014'!$G$1:$BY$6,2,FALSE)</f>
        <v>Fogyatékossággal összefüggő pénzbeli ellátások, támogatások</v>
      </c>
      <c r="D55" s="735" t="str">
        <f>+HLOOKUP($A55,'[4]EI2014'!$G$1:$BY$6,6,FALSE)</f>
        <v>882115-1</v>
      </c>
      <c r="E55" s="822" t="str">
        <f>+HLOOKUP($A55,'[4]EI2014'!$G$1:$BY$6,5,FALSE)</f>
        <v>Ápolási díj alanyi jogon</v>
      </c>
      <c r="F55" s="736">
        <f>+G55+L55</f>
        <v>0</v>
      </c>
      <c r="G55" s="737">
        <f>+H55+I55+J55+K55</f>
        <v>0</v>
      </c>
      <c r="H55" s="705"/>
      <c r="I55" s="706"/>
      <c r="J55" s="706"/>
      <c r="K55" s="707"/>
      <c r="L55" s="737">
        <f>+M55+N55+O55</f>
        <v>0</v>
      </c>
      <c r="M55" s="705"/>
      <c r="N55" s="706"/>
      <c r="O55" s="707"/>
      <c r="P55" s="736">
        <f t="shared" si="2"/>
        <v>0</v>
      </c>
      <c r="Q55" s="737">
        <f t="shared" si="4"/>
        <v>0</v>
      </c>
      <c r="R55" s="705"/>
      <c r="S55" s="724"/>
      <c r="T55" s="724"/>
      <c r="U55" s="724"/>
      <c r="V55" s="725"/>
      <c r="W55" s="737">
        <f t="shared" si="5"/>
        <v>0</v>
      </c>
      <c r="X55" s="726"/>
      <c r="Y55" s="724"/>
      <c r="Z55" s="725"/>
    </row>
    <row r="56" spans="1:26" s="748" customFormat="1" ht="12">
      <c r="A56" s="839">
        <f t="shared" si="6"/>
        <v>35</v>
      </c>
      <c r="B56" s="478" t="str">
        <f>+HLOOKUP($A56,'[4]EI2014'!$G$1:$BY$6,4,FALSE)</f>
        <v>102040</v>
      </c>
      <c r="C56" s="812" t="str">
        <f>+HLOOKUP($A56,'[4]EI2014'!$G$1:$BY$6,2,FALSE)</f>
        <v>Időskorral összefüggő pénzbeli ellátások</v>
      </c>
      <c r="D56" s="735" t="str">
        <f>+HLOOKUP($A56,'[4]EI2014'!$G$1:$BY$6,6,FALSE)</f>
        <v>882112-1</v>
      </c>
      <c r="E56" s="826" t="str">
        <f>+HLOOKUP($A56,'[4]EI2014'!$G$1:$BY$6,5,FALSE)</f>
        <v>Időskorúak járadéka </v>
      </c>
      <c r="F56" s="736">
        <f t="shared" si="0"/>
        <v>0</v>
      </c>
      <c r="G56" s="737">
        <f t="shared" si="1"/>
        <v>0</v>
      </c>
      <c r="H56" s="705"/>
      <c r="I56" s="706"/>
      <c r="J56" s="706"/>
      <c r="K56" s="707"/>
      <c r="L56" s="737">
        <f t="shared" si="3"/>
        <v>0</v>
      </c>
      <c r="M56" s="705"/>
      <c r="N56" s="706"/>
      <c r="O56" s="707"/>
      <c r="P56" s="736">
        <f t="shared" si="2"/>
        <v>0</v>
      </c>
      <c r="Q56" s="737">
        <f t="shared" si="4"/>
        <v>0</v>
      </c>
      <c r="R56" s="705"/>
      <c r="S56" s="724"/>
      <c r="T56" s="724"/>
      <c r="U56" s="724"/>
      <c r="V56" s="725"/>
      <c r="W56" s="737">
        <f t="shared" si="5"/>
        <v>0</v>
      </c>
      <c r="X56" s="726"/>
      <c r="Y56" s="724"/>
      <c r="Z56" s="725"/>
    </row>
    <row r="57" spans="1:26" s="748" customFormat="1" ht="12">
      <c r="A57" s="839">
        <f t="shared" si="6"/>
        <v>36</v>
      </c>
      <c r="B57" s="478" t="str">
        <f>+HLOOKUP($A57,'[4]EI2014'!$G$1:$BY$6,4,FALSE)</f>
        <v>104051</v>
      </c>
      <c r="C57" s="812" t="str">
        <f>+HLOOKUP($A57,'[4]EI2014'!$G$1:$BY$6,2,FALSE)</f>
        <v>Gyermekvédelmi pénzbeli és természetbeni ellátások</v>
      </c>
      <c r="D57" s="735" t="str">
        <f>+HLOOKUP($A57,'[4]EI2014'!$G$1:$BY$6,6,FALSE)</f>
        <v>882117-1</v>
      </c>
      <c r="E57" s="826" t="str">
        <f>+HLOOKUP($A57,'[4]EI2014'!$G$1:$BY$6,5,FALSE)</f>
        <v>Rendszeres gyermekvédelmi pénzbeli ellátás </v>
      </c>
      <c r="F57" s="736">
        <f t="shared" si="0"/>
        <v>0</v>
      </c>
      <c r="G57" s="737">
        <f t="shared" si="1"/>
        <v>0</v>
      </c>
      <c r="H57" s="705"/>
      <c r="I57" s="706"/>
      <c r="J57" s="706"/>
      <c r="K57" s="707"/>
      <c r="L57" s="737">
        <f t="shared" si="3"/>
        <v>0</v>
      </c>
      <c r="M57" s="705"/>
      <c r="N57" s="706"/>
      <c r="O57" s="707"/>
      <c r="P57" s="736">
        <f t="shared" si="2"/>
        <v>0</v>
      </c>
      <c r="Q57" s="737">
        <f t="shared" si="4"/>
        <v>0</v>
      </c>
      <c r="R57" s="705"/>
      <c r="S57" s="724"/>
      <c r="T57" s="724"/>
      <c r="U57" s="724"/>
      <c r="V57" s="725"/>
      <c r="W57" s="737">
        <f t="shared" si="5"/>
        <v>0</v>
      </c>
      <c r="X57" s="726"/>
      <c r="Y57" s="724"/>
      <c r="Z57" s="725"/>
    </row>
    <row r="58" spans="1:26" s="748" customFormat="1" ht="12">
      <c r="A58" s="839">
        <f t="shared" si="6"/>
        <v>37</v>
      </c>
      <c r="B58" s="478" t="str">
        <f>+HLOOKUP($A58,'[4]EI2014'!$G$1:$BY$6,4,FALSE)</f>
        <v>104051</v>
      </c>
      <c r="C58" s="812" t="str">
        <f>+HLOOKUP($A58,'[4]EI2014'!$G$1:$BY$6,2,FALSE)</f>
        <v>Gyermekvédelmi pénzbeli és természetbeni ellátások</v>
      </c>
      <c r="D58" s="735" t="str">
        <f>+HLOOKUP($A58,'[4]EI2014'!$G$1:$BY$6,6,FALSE)</f>
        <v>882118-1</v>
      </c>
      <c r="E58" s="826" t="str">
        <f>+HLOOKUP($A58,'[4]EI2014'!$G$1:$BY$6,5,FALSE)</f>
        <v>Kiegészítő gyermekvédelmi támogatás </v>
      </c>
      <c r="F58" s="736">
        <f t="shared" si="0"/>
        <v>0</v>
      </c>
      <c r="G58" s="737">
        <f t="shared" si="1"/>
        <v>0</v>
      </c>
      <c r="H58" s="705"/>
      <c r="I58" s="706"/>
      <c r="J58" s="706"/>
      <c r="K58" s="707"/>
      <c r="L58" s="737">
        <f t="shared" si="3"/>
        <v>0</v>
      </c>
      <c r="M58" s="705"/>
      <c r="N58" s="706"/>
      <c r="O58" s="707"/>
      <c r="P58" s="736">
        <f t="shared" si="2"/>
        <v>0</v>
      </c>
      <c r="Q58" s="737">
        <f t="shared" si="4"/>
        <v>0</v>
      </c>
      <c r="R58" s="705"/>
      <c r="S58" s="724"/>
      <c r="T58" s="724"/>
      <c r="U58" s="724"/>
      <c r="V58" s="725"/>
      <c r="W58" s="737">
        <f t="shared" si="5"/>
        <v>0</v>
      </c>
      <c r="X58" s="726"/>
      <c r="Y58" s="724"/>
      <c r="Z58" s="725"/>
    </row>
    <row r="59" spans="1:26" ht="12">
      <c r="A59" s="839">
        <f t="shared" si="6"/>
        <v>38</v>
      </c>
      <c r="B59" s="478" t="str">
        <f>+HLOOKUP($A59,'[4]EI2014'!$G$1:$BY$6,4,FALSE)</f>
        <v>104051</v>
      </c>
      <c r="C59" s="812" t="str">
        <f>+HLOOKUP($A59,'[4]EI2014'!$G$1:$BY$6,2,FALSE)</f>
        <v>Gyermekvédelmi pénzbeli és természetbeni ellátások</v>
      </c>
      <c r="D59" s="749" t="str">
        <f>+HLOOKUP($A59,'[4]EI2014'!$G$1:$BY$6,6,FALSE)</f>
        <v>882119-1</v>
      </c>
      <c r="E59" s="826" t="str">
        <f>+HLOOKUP($A59,'[4]EI2014'!$G$1:$BY$6,5,FALSE)</f>
        <v>Óvodáztatási támogatás</v>
      </c>
      <c r="F59" s="736">
        <f t="shared" si="0"/>
        <v>0</v>
      </c>
      <c r="G59" s="737">
        <f t="shared" si="1"/>
        <v>0</v>
      </c>
      <c r="H59" s="705"/>
      <c r="I59" s="706"/>
      <c r="J59" s="706"/>
      <c r="K59" s="707"/>
      <c r="L59" s="737">
        <f t="shared" si="3"/>
        <v>0</v>
      </c>
      <c r="M59" s="705"/>
      <c r="N59" s="706"/>
      <c r="O59" s="707"/>
      <c r="P59" s="736">
        <f t="shared" si="2"/>
        <v>0</v>
      </c>
      <c r="Q59" s="737">
        <f t="shared" si="4"/>
        <v>0</v>
      </c>
      <c r="R59" s="705"/>
      <c r="S59" s="724"/>
      <c r="T59" s="724"/>
      <c r="U59" s="724"/>
      <c r="V59" s="725"/>
      <c r="W59" s="737">
        <f t="shared" si="5"/>
        <v>0</v>
      </c>
      <c r="X59" s="726"/>
      <c r="Y59" s="724"/>
      <c r="Z59" s="725"/>
    </row>
    <row r="60" spans="1:26" ht="12">
      <c r="A60" s="839">
        <f t="shared" si="6"/>
        <v>39</v>
      </c>
      <c r="B60" s="478" t="str">
        <f>+HLOOKUP($A60,'[4]EI2014'!$G$1:$BY$6,4,FALSE)</f>
        <v>104051</v>
      </c>
      <c r="C60" s="812" t="str">
        <f>+HLOOKUP($A60,'[4]EI2014'!$G$1:$BY$6,2,FALSE)</f>
        <v>Gyermekvédelmi pénzbeli és természetbeni ellátások</v>
      </c>
      <c r="D60" s="735" t="str">
        <f>+HLOOKUP($A60,'[4]EI2014'!$G$1:$BY$6,6,FALSE)</f>
        <v>882124-1</v>
      </c>
      <c r="E60" s="826" t="str">
        <f>+HLOOKUP($A60,'[4]EI2014'!$G$1:$BY$6,5,FALSE)</f>
        <v>Rendkívüli gyermekvédelmi támogatás</v>
      </c>
      <c r="F60" s="736">
        <f t="shared" si="0"/>
        <v>0</v>
      </c>
      <c r="G60" s="737">
        <f t="shared" si="1"/>
        <v>0</v>
      </c>
      <c r="H60" s="705"/>
      <c r="I60" s="706"/>
      <c r="J60" s="706"/>
      <c r="K60" s="707"/>
      <c r="L60" s="737">
        <f t="shared" si="3"/>
        <v>0</v>
      </c>
      <c r="M60" s="705"/>
      <c r="N60" s="706"/>
      <c r="O60" s="707"/>
      <c r="P60" s="736">
        <f t="shared" si="2"/>
        <v>0</v>
      </c>
      <c r="Q60" s="737">
        <f t="shared" si="4"/>
        <v>0</v>
      </c>
      <c r="R60" s="705"/>
      <c r="S60" s="724"/>
      <c r="T60" s="724"/>
      <c r="U60" s="724"/>
      <c r="V60" s="725"/>
      <c r="W60" s="737">
        <f t="shared" si="5"/>
        <v>0</v>
      </c>
      <c r="X60" s="726"/>
      <c r="Y60" s="724"/>
      <c r="Z60" s="725"/>
    </row>
    <row r="61" spans="1:26" ht="12">
      <c r="A61" s="839">
        <f t="shared" si="6"/>
        <v>40</v>
      </c>
      <c r="B61" s="478" t="str">
        <f>+HLOOKUP($A61,'[4]EI2014'!$G$1:$BY$6,4,FALSE)</f>
        <v>104051</v>
      </c>
      <c r="C61" s="812" t="str">
        <f>+HLOOKUP($A61,'[4]EI2014'!$G$1:$BY$6,2,FALSE)</f>
        <v>Gyermekvédelmi pénzbeli és természetbeni ellátások</v>
      </c>
      <c r="D61" s="735" t="str">
        <f>+HLOOKUP($A61,'[4]EI2014'!$G$1:$BY$6,6,FALSE)</f>
        <v>889935-1</v>
      </c>
      <c r="E61" s="826" t="str">
        <f>+HLOOKUP($A61,'[4]EI2014'!$G$1:$BY$6,5,FALSE)</f>
        <v>Otthonteremtési támogatás</v>
      </c>
      <c r="F61" s="736">
        <f t="shared" si="0"/>
        <v>0</v>
      </c>
      <c r="G61" s="737">
        <f t="shared" si="1"/>
        <v>0</v>
      </c>
      <c r="H61" s="705"/>
      <c r="I61" s="706"/>
      <c r="J61" s="706"/>
      <c r="K61" s="707"/>
      <c r="L61" s="737">
        <f t="shared" si="3"/>
        <v>0</v>
      </c>
      <c r="M61" s="705"/>
      <c r="N61" s="706"/>
      <c r="O61" s="707"/>
      <c r="P61" s="736">
        <f t="shared" si="2"/>
        <v>0</v>
      </c>
      <c r="Q61" s="737">
        <f t="shared" si="4"/>
        <v>0</v>
      </c>
      <c r="R61" s="705"/>
      <c r="S61" s="724"/>
      <c r="T61" s="724"/>
      <c r="U61" s="724"/>
      <c r="V61" s="725"/>
      <c r="W61" s="737">
        <f t="shared" si="5"/>
        <v>0</v>
      </c>
      <c r="X61" s="726"/>
      <c r="Y61" s="724"/>
      <c r="Z61" s="725"/>
    </row>
    <row r="62" spans="1:26" ht="12">
      <c r="A62" s="839">
        <f t="shared" si="6"/>
        <v>41</v>
      </c>
      <c r="B62" s="478" t="str">
        <f>+HLOOKUP($A62,'[4]EI2014'!$G$1:$BY$6,4,FALSE)</f>
        <v>105010</v>
      </c>
      <c r="C62" s="812" t="str">
        <f>+HLOOKUP($A62,'[4]EI2014'!$G$1:$BY$6,2,FALSE)</f>
        <v>Munkanélküli aktív korúak ellátásai</v>
      </c>
      <c r="D62" s="735" t="str">
        <f>+HLOOKUP($A62,'[4]EI2014'!$G$1:$BY$6,6,FALSE)</f>
        <v>882111-1</v>
      </c>
      <c r="E62" s="826" t="str">
        <f>+HLOOKUP($A62,'[4]EI2014'!$G$1:$BY$6,5,FALSE)</f>
        <v>Aktív korúak ellátása</v>
      </c>
      <c r="F62" s="736">
        <f t="shared" si="0"/>
        <v>0</v>
      </c>
      <c r="G62" s="737">
        <f t="shared" si="1"/>
        <v>0</v>
      </c>
      <c r="H62" s="705"/>
      <c r="I62" s="706"/>
      <c r="J62" s="706"/>
      <c r="K62" s="707"/>
      <c r="L62" s="737">
        <f t="shared" si="3"/>
        <v>0</v>
      </c>
      <c r="M62" s="705"/>
      <c r="N62" s="706"/>
      <c r="O62" s="707"/>
      <c r="P62" s="736">
        <f t="shared" si="2"/>
        <v>0</v>
      </c>
      <c r="Q62" s="737">
        <f t="shared" si="4"/>
        <v>0</v>
      </c>
      <c r="R62" s="705"/>
      <c r="S62" s="724"/>
      <c r="T62" s="724"/>
      <c r="U62" s="724"/>
      <c r="V62" s="725"/>
      <c r="W62" s="737">
        <f t="shared" si="5"/>
        <v>0</v>
      </c>
      <c r="X62" s="726"/>
      <c r="Y62" s="724"/>
      <c r="Z62" s="725"/>
    </row>
    <row r="63" spans="1:26" s="1201" customFormat="1" ht="12" customHeight="1">
      <c r="A63" s="1251" t="s">
        <v>1340</v>
      </c>
      <c r="B63" s="1252"/>
      <c r="C63" s="1252"/>
      <c r="D63" s="1252"/>
      <c r="E63" s="1253"/>
      <c r="F63" s="1193">
        <f t="shared" si="0"/>
        <v>-27600</v>
      </c>
      <c r="G63" s="1194">
        <f t="shared" si="1"/>
        <v>-27600</v>
      </c>
      <c r="H63" s="1195">
        <f>-3600-24000</f>
        <v>-27600</v>
      </c>
      <c r="I63" s="1196"/>
      <c r="J63" s="1196"/>
      <c r="K63" s="1197"/>
      <c r="L63" s="1194">
        <f t="shared" si="3"/>
        <v>0</v>
      </c>
      <c r="M63" s="1195"/>
      <c r="N63" s="1196"/>
      <c r="O63" s="1197"/>
      <c r="P63" s="1193">
        <f t="shared" si="2"/>
        <v>-34000</v>
      </c>
      <c r="Q63" s="1194">
        <f t="shared" si="4"/>
        <v>-34000</v>
      </c>
      <c r="R63" s="1195"/>
      <c r="S63" s="1198"/>
      <c r="T63" s="1198"/>
      <c r="U63" s="1198">
        <f>-4000-30000</f>
        <v>-34000</v>
      </c>
      <c r="V63" s="1199"/>
      <c r="W63" s="1194">
        <f t="shared" si="5"/>
        <v>0</v>
      </c>
      <c r="X63" s="1200"/>
      <c r="Y63" s="1198"/>
      <c r="Z63" s="1199"/>
    </row>
    <row r="64" spans="1:26" ht="12">
      <c r="A64" s="839">
        <f>+A62+1</f>
        <v>42</v>
      </c>
      <c r="B64" s="478" t="str">
        <f>+HLOOKUP($A64,'[4]EI2014'!$G$1:$BY$6,4,FALSE)</f>
        <v>106020</v>
      </c>
      <c r="C64" s="812" t="str">
        <f>+HLOOKUP($A64,'[4]EI2014'!$G$1:$BY$6,2,FALSE)</f>
        <v>Lakásfenntartással, lakhatással összefüggő ellátások</v>
      </c>
      <c r="D64" s="735" t="str">
        <f>+HLOOKUP($A64,'[4]EI2014'!$G$1:$BY$6,6,FALSE)</f>
        <v>882113-1 </v>
      </c>
      <c r="E64" s="826" t="str">
        <f>+HLOOKUP($A64,'[4]EI2014'!$G$1:$BY$6,5,FALSE)</f>
        <v>Lakásfenntartási támogatás normatív alapon </v>
      </c>
      <c r="F64" s="736">
        <f t="shared" si="0"/>
        <v>0</v>
      </c>
      <c r="G64" s="737">
        <f t="shared" si="1"/>
        <v>0</v>
      </c>
      <c r="H64" s="705"/>
      <c r="I64" s="706"/>
      <c r="J64" s="706"/>
      <c r="K64" s="707"/>
      <c r="L64" s="737">
        <f t="shared" si="3"/>
        <v>0</v>
      </c>
      <c r="M64" s="705"/>
      <c r="N64" s="706"/>
      <c r="O64" s="707"/>
      <c r="P64" s="736">
        <f t="shared" si="2"/>
        <v>0</v>
      </c>
      <c r="Q64" s="737">
        <f t="shared" si="4"/>
        <v>0</v>
      </c>
      <c r="R64" s="705"/>
      <c r="S64" s="724"/>
      <c r="T64" s="724"/>
      <c r="U64" s="724"/>
      <c r="V64" s="725"/>
      <c r="W64" s="737">
        <f t="shared" si="5"/>
        <v>0</v>
      </c>
      <c r="X64" s="726"/>
      <c r="Y64" s="724"/>
      <c r="Z64" s="725"/>
    </row>
    <row r="65" spans="1:26" s="1201" customFormat="1" ht="12" customHeight="1">
      <c r="A65" s="1251" t="s">
        <v>1339</v>
      </c>
      <c r="B65" s="1252"/>
      <c r="C65" s="1252"/>
      <c r="D65" s="1252"/>
      <c r="E65" s="1253"/>
      <c r="F65" s="1193">
        <f t="shared" si="0"/>
        <v>-1800</v>
      </c>
      <c r="G65" s="1194">
        <f t="shared" si="1"/>
        <v>-1800</v>
      </c>
      <c r="H65" s="1195">
        <v>-1800</v>
      </c>
      <c r="I65" s="1196"/>
      <c r="J65" s="1196"/>
      <c r="K65" s="1197"/>
      <c r="L65" s="1194">
        <f t="shared" si="3"/>
        <v>0</v>
      </c>
      <c r="M65" s="1195"/>
      <c r="N65" s="1196"/>
      <c r="O65" s="1197"/>
      <c r="P65" s="1193">
        <f t="shared" si="2"/>
        <v>-2000</v>
      </c>
      <c r="Q65" s="1194">
        <f t="shared" si="4"/>
        <v>-2000</v>
      </c>
      <c r="R65" s="1195"/>
      <c r="S65" s="1198"/>
      <c r="T65" s="1198"/>
      <c r="U65" s="1198">
        <v>-2000</v>
      </c>
      <c r="V65" s="1199"/>
      <c r="W65" s="1194">
        <f t="shared" si="5"/>
        <v>0</v>
      </c>
      <c r="X65" s="1200"/>
      <c r="Y65" s="1198"/>
      <c r="Z65" s="1199"/>
    </row>
    <row r="66" spans="1:26" ht="12">
      <c r="A66" s="839">
        <f>+A64+1</f>
        <v>43</v>
      </c>
      <c r="B66" s="475" t="str">
        <f>+HLOOKUP($A66,'[4]EI2014'!$G$1:$BY$6,4,FALSE)</f>
        <v>107060</v>
      </c>
      <c r="C66" s="814" t="str">
        <f>+HLOOKUP($A66,'[4]EI2014'!$G$1:$BY$6,2,FALSE)</f>
        <v>Egyéb szociális pénzbeli ellátások, támogatások</v>
      </c>
      <c r="D66" s="743" t="str">
        <f>+HLOOKUP($A66,'[4]EI2014'!$G$1:$BY$6,6,FALSE)</f>
        <v>882122-1</v>
      </c>
      <c r="E66" s="827" t="str">
        <f>+HLOOKUP($A66,'[4]EI2014'!$G$1:$BY$6,5,FALSE)</f>
        <v>Önkormányzati segély</v>
      </c>
      <c r="F66" s="744">
        <f t="shared" si="0"/>
        <v>0</v>
      </c>
      <c r="G66" s="745">
        <f t="shared" si="1"/>
        <v>0</v>
      </c>
      <c r="H66" s="705"/>
      <c r="I66" s="706"/>
      <c r="J66" s="706"/>
      <c r="K66" s="707"/>
      <c r="L66" s="745">
        <f t="shared" si="3"/>
        <v>0</v>
      </c>
      <c r="M66" s="705"/>
      <c r="N66" s="706"/>
      <c r="O66" s="707"/>
      <c r="P66" s="736">
        <f t="shared" si="2"/>
        <v>0</v>
      </c>
      <c r="Q66" s="737">
        <f t="shared" si="4"/>
        <v>0</v>
      </c>
      <c r="R66" s="705"/>
      <c r="S66" s="724"/>
      <c r="T66" s="724"/>
      <c r="U66" s="724"/>
      <c r="V66" s="725"/>
      <c r="W66" s="737">
        <f t="shared" si="5"/>
        <v>0</v>
      </c>
      <c r="X66" s="726"/>
      <c r="Y66" s="724"/>
      <c r="Z66" s="725"/>
    </row>
    <row r="67" spans="1:26" s="1201" customFormat="1" ht="12" customHeight="1">
      <c r="A67" s="1251" t="s">
        <v>1339</v>
      </c>
      <c r="B67" s="1252"/>
      <c r="C67" s="1252"/>
      <c r="D67" s="1252"/>
      <c r="E67" s="1253"/>
      <c r="F67" s="1193">
        <f t="shared" si="0"/>
        <v>0</v>
      </c>
      <c r="G67" s="1194">
        <f t="shared" si="1"/>
        <v>0</v>
      </c>
      <c r="H67" s="1195"/>
      <c r="I67" s="1196"/>
      <c r="J67" s="1196"/>
      <c r="K67" s="1197"/>
      <c r="L67" s="1194">
        <f t="shared" si="3"/>
        <v>0</v>
      </c>
      <c r="M67" s="1195"/>
      <c r="N67" s="1196"/>
      <c r="O67" s="1197"/>
      <c r="P67" s="1193">
        <f t="shared" si="2"/>
        <v>1000</v>
      </c>
      <c r="Q67" s="1194">
        <f t="shared" si="4"/>
        <v>1000</v>
      </c>
      <c r="R67" s="1195"/>
      <c r="S67" s="1198"/>
      <c r="T67" s="1198"/>
      <c r="U67" s="1198">
        <v>1000</v>
      </c>
      <c r="V67" s="1199"/>
      <c r="W67" s="1194">
        <f t="shared" si="5"/>
        <v>0</v>
      </c>
      <c r="X67" s="1200"/>
      <c r="Y67" s="1198"/>
      <c r="Z67" s="1199"/>
    </row>
    <row r="68" spans="1:26" ht="12">
      <c r="A68" s="839">
        <f>+A66+1</f>
        <v>44</v>
      </c>
      <c r="B68" s="475" t="str">
        <f>+HLOOKUP($A68,'[4]EI2014'!$G$1:$BY$6,4,FALSE)</f>
        <v>107060</v>
      </c>
      <c r="C68" s="814" t="str">
        <f>+HLOOKUP($A68,'[4]EI2014'!$G$1:$BY$6,2,FALSE)</f>
        <v>Egyéb szociális természetbeni és pénzbeli ellátások</v>
      </c>
      <c r="D68" s="743" t="str">
        <f>+HLOOKUP($A68,'[4]EI2014'!$G$1:$BY$6,6,FALSE)</f>
        <v>882203-1</v>
      </c>
      <c r="E68" s="827" t="str">
        <f>+HLOOKUP($A68,'[4]EI2014'!$G$1:$BY$6,5,FALSE)</f>
        <v>Köztemetés</v>
      </c>
      <c r="F68" s="744">
        <f t="shared" si="0"/>
        <v>0</v>
      </c>
      <c r="G68" s="745">
        <f t="shared" si="1"/>
        <v>0</v>
      </c>
      <c r="H68" s="705"/>
      <c r="I68" s="706"/>
      <c r="J68" s="706"/>
      <c r="K68" s="707"/>
      <c r="L68" s="745">
        <f t="shared" si="3"/>
        <v>0</v>
      </c>
      <c r="M68" s="705"/>
      <c r="N68" s="706"/>
      <c r="O68" s="707"/>
      <c r="P68" s="736">
        <f t="shared" si="2"/>
        <v>0</v>
      </c>
      <c r="Q68" s="737">
        <f t="shared" si="4"/>
        <v>0</v>
      </c>
      <c r="R68" s="705"/>
      <c r="S68" s="724"/>
      <c r="T68" s="724"/>
      <c r="U68" s="724"/>
      <c r="V68" s="725"/>
      <c r="W68" s="737">
        <f t="shared" si="5"/>
        <v>0</v>
      </c>
      <c r="X68" s="726"/>
      <c r="Y68" s="724"/>
      <c r="Z68" s="725"/>
    </row>
    <row r="69" spans="1:26" ht="12">
      <c r="A69" s="839">
        <f>+A68+1</f>
        <v>45</v>
      </c>
      <c r="B69" s="478" t="str">
        <f>+HLOOKUP($A69,'[4]EI2014'!$G$1:$BY$6,4,FALSE)</f>
        <v>900060</v>
      </c>
      <c r="C69" s="812" t="str">
        <f>+HLOOKUP($A69,'[4]EI2014'!$G$1:$BY$6,2,FALSE)</f>
        <v>Forgatási és befektetési célú finanszírozási műveletek</v>
      </c>
      <c r="D69" s="735" t="str">
        <f>+HLOOKUP($A69,'[4]EI2014'!$G$1:$BY$6,6,FALSE)</f>
        <v>841906-9</v>
      </c>
      <c r="E69" s="826" t="str">
        <f>+HLOOKUP($A69,'[4]EI2014'!$G$1:$BY$6,5,FALSE)</f>
        <v>Finanszírozási műveletek</v>
      </c>
      <c r="F69" s="736">
        <f t="shared" si="0"/>
        <v>0</v>
      </c>
      <c r="G69" s="737">
        <f t="shared" si="1"/>
        <v>0</v>
      </c>
      <c r="H69" s="705"/>
      <c r="I69" s="706"/>
      <c r="J69" s="706"/>
      <c r="K69" s="707"/>
      <c r="L69" s="737">
        <f t="shared" si="3"/>
        <v>0</v>
      </c>
      <c r="M69" s="705"/>
      <c r="N69" s="706"/>
      <c r="O69" s="707"/>
      <c r="P69" s="736">
        <f t="shared" si="2"/>
        <v>0</v>
      </c>
      <c r="Q69" s="737">
        <f t="shared" si="4"/>
        <v>0</v>
      </c>
      <c r="R69" s="705"/>
      <c r="S69" s="724"/>
      <c r="T69" s="724"/>
      <c r="U69" s="724"/>
      <c r="V69" s="725"/>
      <c r="W69" s="737">
        <f t="shared" si="5"/>
        <v>0</v>
      </c>
      <c r="X69" s="726"/>
      <c r="Y69" s="724"/>
      <c r="Z69" s="725"/>
    </row>
    <row r="70" spans="1:26" ht="12.75" thickBot="1">
      <c r="A70" s="839">
        <f t="shared" si="6"/>
        <v>46</v>
      </c>
      <c r="B70" s="585" t="str">
        <f>+HLOOKUP($A70,'[4]EI2014'!$G$1:$BY$6,4,FALSE)</f>
        <v>-</v>
      </c>
      <c r="C70" s="811" t="str">
        <f>+HLOOKUP($A70,'[4]EI2014'!$G$1:$BY$6,2,FALSE)</f>
        <v>Funkciók szerint bontandó</v>
      </c>
      <c r="D70" s="723" t="str">
        <f>+HLOOKUP($A70,'[4]EI2014'!$G$1:$BY$6,6,FALSE)</f>
        <v>890411-1</v>
      </c>
      <c r="E70" s="828" t="str">
        <f>+HLOOKUP($A70,'[4]EI2014'!$G$1:$BY$6,5,FALSE)</f>
        <v>Hátrányos helyzetű kistérségek speciális komplex felzárkóztató programjai</v>
      </c>
      <c r="F70" s="710">
        <f t="shared" si="0"/>
        <v>0</v>
      </c>
      <c r="G70" s="711">
        <f t="shared" si="1"/>
        <v>0</v>
      </c>
      <c r="H70" s="705"/>
      <c r="I70" s="706"/>
      <c r="J70" s="706"/>
      <c r="K70" s="707"/>
      <c r="L70" s="711">
        <f t="shared" si="3"/>
        <v>0</v>
      </c>
      <c r="M70" s="705"/>
      <c r="N70" s="706"/>
      <c r="O70" s="707"/>
      <c r="P70" s="736">
        <f t="shared" si="2"/>
        <v>0</v>
      </c>
      <c r="Q70" s="737">
        <f t="shared" si="4"/>
        <v>0</v>
      </c>
      <c r="R70" s="705"/>
      <c r="S70" s="724"/>
      <c r="T70" s="724"/>
      <c r="U70" s="724"/>
      <c r="V70" s="725"/>
      <c r="W70" s="737">
        <f t="shared" si="5"/>
        <v>0</v>
      </c>
      <c r="X70" s="726"/>
      <c r="Y70" s="724"/>
      <c r="Z70" s="725"/>
    </row>
    <row r="71" spans="1:26" s="716" customFormat="1" ht="12.75" thickBot="1">
      <c r="A71" s="829" t="s">
        <v>765</v>
      </c>
      <c r="B71" s="1266" t="s">
        <v>482</v>
      </c>
      <c r="C71" s="1267"/>
      <c r="D71" s="1267"/>
      <c r="E71" s="1268"/>
      <c r="F71" s="753">
        <f>SUM(F8:F70)</f>
        <v>-33151</v>
      </c>
      <c r="G71" s="570">
        <f aca="true" t="shared" si="7" ref="G71:O71">SUM(G8:G70)</f>
        <v>-33046</v>
      </c>
      <c r="H71" s="754">
        <f t="shared" si="7"/>
        <v>-33046</v>
      </c>
      <c r="I71" s="486">
        <f t="shared" si="7"/>
        <v>0</v>
      </c>
      <c r="J71" s="486">
        <f t="shared" si="7"/>
        <v>0</v>
      </c>
      <c r="K71" s="472">
        <f t="shared" si="7"/>
        <v>0</v>
      </c>
      <c r="L71" s="570">
        <f t="shared" si="7"/>
        <v>-105</v>
      </c>
      <c r="M71" s="754">
        <f t="shared" si="7"/>
        <v>-105</v>
      </c>
      <c r="N71" s="486">
        <f t="shared" si="7"/>
        <v>0</v>
      </c>
      <c r="O71" s="472">
        <f t="shared" si="7"/>
        <v>0</v>
      </c>
      <c r="P71" s="753">
        <f>SUM(P8:P70)</f>
        <v>-27858</v>
      </c>
      <c r="Q71" s="795">
        <f aca="true" t="shared" si="8" ref="Q71:Z71">SUM(Q8:Q70)</f>
        <v>-27858</v>
      </c>
      <c r="R71" s="796">
        <f t="shared" si="8"/>
        <v>1319</v>
      </c>
      <c r="S71" s="797">
        <f t="shared" si="8"/>
        <v>356</v>
      </c>
      <c r="T71" s="797">
        <f t="shared" si="8"/>
        <v>-12287</v>
      </c>
      <c r="U71" s="797">
        <f t="shared" si="8"/>
        <v>-37063</v>
      </c>
      <c r="V71" s="570">
        <f t="shared" si="8"/>
        <v>19817</v>
      </c>
      <c r="W71" s="798">
        <f t="shared" si="8"/>
        <v>0</v>
      </c>
      <c r="X71" s="796">
        <f t="shared" si="8"/>
        <v>0</v>
      </c>
      <c r="Y71" s="797">
        <f t="shared" si="8"/>
        <v>0</v>
      </c>
      <c r="Z71" s="570">
        <f t="shared" si="8"/>
        <v>0</v>
      </c>
    </row>
    <row r="72" spans="1:26" ht="12">
      <c r="A72" s="839">
        <f>+A70+1</f>
        <v>47</v>
      </c>
      <c r="B72" s="585" t="str">
        <f>+HLOOKUP($A72,'[4]EI2014'!$G$1:$BY$6,4,FALSE)</f>
        <v>031010</v>
      </c>
      <c r="C72" s="811" t="str">
        <f>+HLOOKUP($A72,'[4]EI2014'!$G$1:$BY$6,2,FALSE)</f>
        <v>Közbiztonság, közrend igazgatása</v>
      </c>
      <c r="D72" s="723" t="str">
        <f>+HLOOKUP($A72,'[4]EI2014'!$G$1:$BY$6,6,FALSE)</f>
        <v>842421-1</v>
      </c>
      <c r="E72" s="828" t="str">
        <f>+HLOOKUP($A72,'[4]EI2014'!$G$1:$BY$6,5,FALSE)</f>
        <v>Közterület rendjének fenntartása </v>
      </c>
      <c r="F72" s="710">
        <f>+G72+L72</f>
        <v>0</v>
      </c>
      <c r="G72" s="711">
        <f>+H72+I72+J72+K72</f>
        <v>0</v>
      </c>
      <c r="H72" s="705"/>
      <c r="I72" s="706"/>
      <c r="J72" s="706"/>
      <c r="K72" s="707"/>
      <c r="L72" s="711">
        <f>+M72+N72+O72</f>
        <v>0</v>
      </c>
      <c r="M72" s="705"/>
      <c r="N72" s="706"/>
      <c r="O72" s="707"/>
      <c r="P72" s="736">
        <f aca="true" t="shared" si="9" ref="P72:P87">+Q72+W72</f>
        <v>0</v>
      </c>
      <c r="Q72" s="737">
        <f aca="true" t="shared" si="10" ref="Q72:Q87">+R72+S72+T72+U72+V72</f>
        <v>0</v>
      </c>
      <c r="R72" s="705"/>
      <c r="S72" s="706"/>
      <c r="T72" s="706"/>
      <c r="U72" s="706"/>
      <c r="V72" s="707"/>
      <c r="W72" s="737">
        <f aca="true" t="shared" si="11" ref="W72:W87">+X72+Y72+Z72</f>
        <v>0</v>
      </c>
      <c r="X72" s="705"/>
      <c r="Y72" s="706"/>
      <c r="Z72" s="707"/>
    </row>
    <row r="73" spans="1:26" ht="12">
      <c r="A73" s="840">
        <f>+A72+1</f>
        <v>48</v>
      </c>
      <c r="B73" s="585" t="str">
        <f>+HLOOKUP($A73,'[4]EI2014'!$G$1:$BY$6,4,FALSE)</f>
        <v>061030</v>
      </c>
      <c r="C73" s="811" t="str">
        <f>+HLOOKUP($A73,'[4]EI2014'!$G$1:$BY$6,2,FALSE)</f>
        <v>Lakáshoz jutást segítő támogatások</v>
      </c>
      <c r="D73" s="723" t="str">
        <f>+HLOOKUP($A73,'[4]EI2014'!$G$1:$BY$6,6,FALSE)</f>
        <v>889942-1</v>
      </c>
      <c r="E73" s="750" t="str">
        <f>+HLOOKUP($A73,'[4]EI2014'!$G$1:$BY$6,5,FALSE)</f>
        <v>Önkormányzatok által nyújtott lakástámogatás </v>
      </c>
      <c r="F73" s="710">
        <f aca="true" t="shared" si="12" ref="F73:F87">+G73+L73</f>
        <v>0</v>
      </c>
      <c r="G73" s="711">
        <f aca="true" t="shared" si="13" ref="G73:G87">+H73+I73+J73+K73</f>
        <v>0</v>
      </c>
      <c r="H73" s="705"/>
      <c r="I73" s="706"/>
      <c r="J73" s="706"/>
      <c r="K73" s="707"/>
      <c r="L73" s="711">
        <f aca="true" t="shared" si="14" ref="L73:L87">+M73+N73+O73</f>
        <v>0</v>
      </c>
      <c r="M73" s="705"/>
      <c r="N73" s="706"/>
      <c r="O73" s="707"/>
      <c r="P73" s="736">
        <f t="shared" si="9"/>
        <v>0</v>
      </c>
      <c r="Q73" s="737">
        <f t="shared" si="10"/>
        <v>0</v>
      </c>
      <c r="R73" s="705"/>
      <c r="S73" s="724"/>
      <c r="T73" s="724"/>
      <c r="U73" s="724"/>
      <c r="V73" s="725"/>
      <c r="W73" s="737">
        <f t="shared" si="11"/>
        <v>0</v>
      </c>
      <c r="X73" s="726"/>
      <c r="Y73" s="724"/>
      <c r="Z73" s="725"/>
    </row>
    <row r="74" spans="1:26" s="1201" customFormat="1" ht="12" customHeight="1">
      <c r="A74" s="1251" t="s">
        <v>1341</v>
      </c>
      <c r="B74" s="1252"/>
      <c r="C74" s="1252"/>
      <c r="D74" s="1252"/>
      <c r="E74" s="1253"/>
      <c r="F74" s="1193">
        <f t="shared" si="12"/>
        <v>700</v>
      </c>
      <c r="G74" s="1194">
        <f t="shared" si="13"/>
        <v>0</v>
      </c>
      <c r="H74" s="1195"/>
      <c r="I74" s="1196"/>
      <c r="J74" s="1196"/>
      <c r="K74" s="1197"/>
      <c r="L74" s="1194">
        <f t="shared" si="14"/>
        <v>700</v>
      </c>
      <c r="M74" s="1195"/>
      <c r="N74" s="1196"/>
      <c r="O74" s="1197">
        <v>700</v>
      </c>
      <c r="P74" s="1193">
        <f t="shared" si="9"/>
        <v>0</v>
      </c>
      <c r="Q74" s="1194">
        <f t="shared" si="10"/>
        <v>0</v>
      </c>
      <c r="R74" s="1195"/>
      <c r="S74" s="1198"/>
      <c r="T74" s="1198"/>
      <c r="U74" s="1198"/>
      <c r="V74" s="1199"/>
      <c r="W74" s="1194">
        <f t="shared" si="11"/>
        <v>0</v>
      </c>
      <c r="X74" s="1200"/>
      <c r="Y74" s="1198"/>
      <c r="Z74" s="1199"/>
    </row>
    <row r="75" spans="1:26" ht="12">
      <c r="A75" s="840">
        <f>+A73+1</f>
        <v>49</v>
      </c>
      <c r="B75" s="478" t="str">
        <f>+HLOOKUP($A75,'[4]EI2014'!$G$1:$BY$6,4,FALSE)</f>
        <v>066020</v>
      </c>
      <c r="C75" s="812" t="str">
        <f>+HLOOKUP($A75,'[4]EI2014'!$G$1:$BY$6,2,FALSE)</f>
        <v>Város-, községgazdálkodási m.n.s. szolgáltatások </v>
      </c>
      <c r="D75" s="735" t="str">
        <f>+HLOOKUP($A75,'[4]EI2014'!$G$1:$BY$6,6,FALSE)</f>
        <v>841403-1</v>
      </c>
      <c r="E75" s="741" t="str">
        <f>+HLOOKUP($A75,'[4]EI2014'!$G$1:$BY$6,5,FALSE)</f>
        <v>Mezőőri tevékenység</v>
      </c>
      <c r="F75" s="736">
        <f t="shared" si="12"/>
        <v>0</v>
      </c>
      <c r="G75" s="737">
        <f t="shared" si="13"/>
        <v>0</v>
      </c>
      <c r="H75" s="705"/>
      <c r="I75" s="724"/>
      <c r="J75" s="724"/>
      <c r="K75" s="725"/>
      <c r="L75" s="737">
        <f t="shared" si="14"/>
        <v>0</v>
      </c>
      <c r="M75" s="726"/>
      <c r="N75" s="724"/>
      <c r="O75" s="725"/>
      <c r="P75" s="736">
        <f t="shared" si="9"/>
        <v>0</v>
      </c>
      <c r="Q75" s="737">
        <f t="shared" si="10"/>
        <v>0</v>
      </c>
      <c r="R75" s="705"/>
      <c r="S75" s="724"/>
      <c r="T75" s="724"/>
      <c r="U75" s="724"/>
      <c r="V75" s="725"/>
      <c r="W75" s="737">
        <f t="shared" si="11"/>
        <v>0</v>
      </c>
      <c r="X75" s="726"/>
      <c r="Y75" s="724"/>
      <c r="Z75" s="725"/>
    </row>
    <row r="76" spans="1:26" s="1201" customFormat="1" ht="12" customHeight="1">
      <c r="A76" s="1251" t="s">
        <v>1342</v>
      </c>
      <c r="B76" s="1252"/>
      <c r="C76" s="1252"/>
      <c r="D76" s="1252"/>
      <c r="E76" s="1253"/>
      <c r="F76" s="1193">
        <f t="shared" si="12"/>
        <v>180</v>
      </c>
      <c r="G76" s="1194">
        <f t="shared" si="13"/>
        <v>180</v>
      </c>
      <c r="H76" s="1195"/>
      <c r="I76" s="1196">
        <v>180</v>
      </c>
      <c r="J76" s="1196"/>
      <c r="K76" s="1197"/>
      <c r="L76" s="1194">
        <f t="shared" si="14"/>
        <v>0</v>
      </c>
      <c r="M76" s="1195"/>
      <c r="N76" s="1196"/>
      <c r="O76" s="1197"/>
      <c r="P76" s="1193">
        <f t="shared" si="9"/>
        <v>180</v>
      </c>
      <c r="Q76" s="1194">
        <f t="shared" si="10"/>
        <v>180</v>
      </c>
      <c r="R76" s="1195">
        <v>180</v>
      </c>
      <c r="S76" s="1198"/>
      <c r="T76" s="1198"/>
      <c r="U76" s="1198"/>
      <c r="V76" s="1199"/>
      <c r="W76" s="1194">
        <f t="shared" si="11"/>
        <v>0</v>
      </c>
      <c r="X76" s="1200"/>
      <c r="Y76" s="1198"/>
      <c r="Z76" s="1199"/>
    </row>
    <row r="77" spans="1:26" ht="12">
      <c r="A77" s="840">
        <f>+A75+1</f>
        <v>50</v>
      </c>
      <c r="B77" s="585" t="str">
        <f>+HLOOKUP($A77,'[4]EI2014'!$G$1:$BY$6,4,FALSE)</f>
        <v>081061</v>
      </c>
      <c r="C77" s="811" t="str">
        <f>+HLOOKUP($A77,'[4]EI2014'!$G$1:$BY$6,2,FALSE)</f>
        <v>Mindenféle egyéb szabadidős szolgáltatás</v>
      </c>
      <c r="D77" s="735" t="str">
        <f>+HLOOKUP($A77,'[4]EI2014'!$G$1:$BY$6,6,FALSE)</f>
        <v>932911-1</v>
      </c>
      <c r="E77" s="740" t="str">
        <f>+HLOOKUP($A77,'[4]EI2014'!$G$1:$BY$6,5,FALSE)</f>
        <v>Szabadidős park, fürdő és strandszolgáltatás </v>
      </c>
      <c r="F77" s="736">
        <f t="shared" si="12"/>
        <v>0</v>
      </c>
      <c r="G77" s="737">
        <f t="shared" si="13"/>
        <v>0</v>
      </c>
      <c r="H77" s="705"/>
      <c r="I77" s="724"/>
      <c r="J77" s="724"/>
      <c r="K77" s="725"/>
      <c r="L77" s="737">
        <f t="shared" si="14"/>
        <v>0</v>
      </c>
      <c r="M77" s="726"/>
      <c r="N77" s="724"/>
      <c r="O77" s="725"/>
      <c r="P77" s="736">
        <f t="shared" si="9"/>
        <v>0</v>
      </c>
      <c r="Q77" s="737">
        <f t="shared" si="10"/>
        <v>0</v>
      </c>
      <c r="R77" s="705"/>
      <c r="S77" s="724"/>
      <c r="T77" s="724"/>
      <c r="U77" s="724"/>
      <c r="V77" s="725"/>
      <c r="W77" s="737">
        <f t="shared" si="11"/>
        <v>0</v>
      </c>
      <c r="X77" s="726"/>
      <c r="Y77" s="724"/>
      <c r="Z77" s="725"/>
    </row>
    <row r="78" spans="1:26" ht="12">
      <c r="A78" s="840">
        <f aca="true" t="shared" si="15" ref="A78:A87">+A77+1</f>
        <v>51</v>
      </c>
      <c r="B78" s="478" t="str">
        <f>+HLOOKUP($A78,'[4]EI2014'!$G$1:$BY$6,4,FALSE)</f>
        <v>084032</v>
      </c>
      <c r="C78" s="812" t="str">
        <f>+HLOOKUP($A78,'[4]EI2014'!$G$1:$BY$6,2,FALSE)</f>
        <v>Civil szervezetek programtámogatása</v>
      </c>
      <c r="D78" s="735" t="str">
        <f>+HLOOKUP($A78,'[4]EI2014'!$G$1:$BY$6,6,FALSE)</f>
        <v>890302-1</v>
      </c>
      <c r="E78" s="740" t="str">
        <f>+HLOOKUP($A78,'[4]EI2014'!$G$1:$BY$6,5,FALSE)</f>
        <v>Civil szervezetek program- és egyéb támogatása </v>
      </c>
      <c r="F78" s="736">
        <f t="shared" si="12"/>
        <v>0</v>
      </c>
      <c r="G78" s="737">
        <f t="shared" si="13"/>
        <v>0</v>
      </c>
      <c r="H78" s="705"/>
      <c r="I78" s="724"/>
      <c r="J78" s="724"/>
      <c r="K78" s="725"/>
      <c r="L78" s="737">
        <f t="shared" si="14"/>
        <v>0</v>
      </c>
      <c r="M78" s="726"/>
      <c r="N78" s="724"/>
      <c r="O78" s="725"/>
      <c r="P78" s="736">
        <f t="shared" si="9"/>
        <v>0</v>
      </c>
      <c r="Q78" s="737">
        <f t="shared" si="10"/>
        <v>0</v>
      </c>
      <c r="R78" s="705"/>
      <c r="S78" s="724"/>
      <c r="T78" s="724"/>
      <c r="U78" s="724"/>
      <c r="V78" s="725"/>
      <c r="W78" s="737">
        <f t="shared" si="11"/>
        <v>0</v>
      </c>
      <c r="X78" s="726"/>
      <c r="Y78" s="724"/>
      <c r="Z78" s="725"/>
    </row>
    <row r="79" spans="1:26" s="1201" customFormat="1" ht="12" customHeight="1">
      <c r="A79" s="1251" t="s">
        <v>1333</v>
      </c>
      <c r="B79" s="1252"/>
      <c r="C79" s="1252"/>
      <c r="D79" s="1252"/>
      <c r="E79" s="1253"/>
      <c r="F79" s="1193">
        <f t="shared" si="12"/>
        <v>0</v>
      </c>
      <c r="G79" s="1194">
        <f t="shared" si="13"/>
        <v>0</v>
      </c>
      <c r="H79" s="1195"/>
      <c r="I79" s="1196"/>
      <c r="J79" s="1196"/>
      <c r="K79" s="1197"/>
      <c r="L79" s="1194">
        <f t="shared" si="14"/>
        <v>0</v>
      </c>
      <c r="M79" s="1195"/>
      <c r="N79" s="1196"/>
      <c r="O79" s="1197"/>
      <c r="P79" s="1193">
        <f t="shared" si="9"/>
        <v>1000</v>
      </c>
      <c r="Q79" s="1194">
        <f t="shared" si="10"/>
        <v>1000</v>
      </c>
      <c r="R79" s="1195"/>
      <c r="S79" s="1198"/>
      <c r="T79" s="1198"/>
      <c r="U79" s="1198"/>
      <c r="V79" s="1199">
        <f>-200-200+1400</f>
        <v>1000</v>
      </c>
      <c r="W79" s="1194">
        <f t="shared" si="11"/>
        <v>0</v>
      </c>
      <c r="X79" s="1200"/>
      <c r="Y79" s="1198"/>
      <c r="Z79" s="1199"/>
    </row>
    <row r="80" spans="1:26" ht="12">
      <c r="A80" s="840">
        <f>+A78+1</f>
        <v>52</v>
      </c>
      <c r="B80" s="600" t="str">
        <f>+HLOOKUP($A80,'[4]EI2014'!$G$1:$BY$6,4,FALSE)</f>
        <v>094260</v>
      </c>
      <c r="C80" s="813" t="str">
        <f>+HLOOKUP($A80,'[4]EI2014'!$G$1:$BY$6,2,FALSE)</f>
        <v>Hallgatói és oktatói ösztöndíjak, egyéb juttatások</v>
      </c>
      <c r="D80" s="743" t="str">
        <f>+HLOOKUP($A80,'[4]EI2014'!$G$1:$BY$6,6,FALSE)</f>
        <v>854314-1</v>
      </c>
      <c r="E80" s="742" t="str">
        <f>+HLOOKUP($A80,'[4]EI2014'!$G$1:$BY$6,5,FALSE)</f>
        <v>Szociális ösztöndíjak</v>
      </c>
      <c r="F80" s="744">
        <f t="shared" si="12"/>
        <v>0</v>
      </c>
      <c r="G80" s="745">
        <f t="shared" si="13"/>
        <v>0</v>
      </c>
      <c r="H80" s="705"/>
      <c r="I80" s="746"/>
      <c r="J80" s="746"/>
      <c r="K80" s="573"/>
      <c r="L80" s="745">
        <f t="shared" si="14"/>
        <v>0</v>
      </c>
      <c r="M80" s="747"/>
      <c r="N80" s="746"/>
      <c r="O80" s="573"/>
      <c r="P80" s="736">
        <f t="shared" si="9"/>
        <v>0</v>
      </c>
      <c r="Q80" s="737">
        <f t="shared" si="10"/>
        <v>0</v>
      </c>
      <c r="R80" s="705"/>
      <c r="S80" s="724"/>
      <c r="T80" s="724"/>
      <c r="U80" s="724"/>
      <c r="V80" s="725"/>
      <c r="W80" s="737">
        <f t="shared" si="11"/>
        <v>0</v>
      </c>
      <c r="X80" s="726"/>
      <c r="Y80" s="724"/>
      <c r="Z80" s="725"/>
    </row>
    <row r="81" spans="1:26" s="748" customFormat="1" ht="12">
      <c r="A81" s="840">
        <f t="shared" si="15"/>
        <v>53</v>
      </c>
      <c r="B81" s="478" t="str">
        <f>+HLOOKUP($A81,'[4]EI2014'!$G$1:$BY$6,4,FALSE)</f>
        <v>101150</v>
      </c>
      <c r="C81" s="812" t="str">
        <f>+HLOOKUP($A81,'[4]EI2014'!$G$1:$BY$6,2,FALSE)</f>
        <v>Betegséggel kapcsolatos pénzbeli ellátások, támogatások</v>
      </c>
      <c r="D81" s="735" t="str">
        <f>+HLOOKUP($A81,'[4]EI2014'!$G$1:$BY$6,6,FALSE)</f>
        <v>882116-1</v>
      </c>
      <c r="E81" s="741" t="str">
        <f>+HLOOKUP($A81,'[4]EI2014'!$G$1:$BY$6,5,FALSE)</f>
        <v>Ápolási díj méltányossági alapon </v>
      </c>
      <c r="F81" s="736">
        <f t="shared" si="12"/>
        <v>0</v>
      </c>
      <c r="G81" s="737">
        <f t="shared" si="13"/>
        <v>0</v>
      </c>
      <c r="H81" s="705"/>
      <c r="I81" s="724"/>
      <c r="J81" s="724"/>
      <c r="K81" s="725"/>
      <c r="L81" s="737">
        <f t="shared" si="14"/>
        <v>0</v>
      </c>
      <c r="M81" s="726"/>
      <c r="N81" s="724"/>
      <c r="O81" s="725"/>
      <c r="P81" s="710">
        <f t="shared" si="9"/>
        <v>0</v>
      </c>
      <c r="Q81" s="711">
        <f t="shared" si="10"/>
        <v>0</v>
      </c>
      <c r="R81" s="705"/>
      <c r="S81" s="706"/>
      <c r="T81" s="706"/>
      <c r="U81" s="706"/>
      <c r="V81" s="707"/>
      <c r="W81" s="711">
        <f t="shared" si="11"/>
        <v>0</v>
      </c>
      <c r="X81" s="705"/>
      <c r="Y81" s="706"/>
      <c r="Z81" s="707"/>
    </row>
    <row r="82" spans="1:26" s="748" customFormat="1" ht="12">
      <c r="A82" s="840">
        <f t="shared" si="15"/>
        <v>54</v>
      </c>
      <c r="B82" s="585" t="str">
        <f>+HLOOKUP($A82,'[4]EI2014'!$G$1:$BY$6,4,FALSE)</f>
        <v>101231</v>
      </c>
      <c r="C82" s="811" t="str">
        <f>+HLOOKUP($A82,'[4]EI2014'!$G$1:$BY$6,2,FALSE)</f>
        <v>Fogyatékossággal összefüggő pénzbeli ellátások, támogatások</v>
      </c>
      <c r="D82" s="735" t="str">
        <f>+HLOOKUP($A82,'[4]EI2014'!$G$1:$BY$6,6,FALSE)</f>
        <v>882116-1</v>
      </c>
      <c r="E82" s="741" t="str">
        <f>+HLOOKUP($A82,'[4]EI2014'!$G$1:$BY$6,5,FALSE)</f>
        <v>Ápolási díj méltányossági alapon </v>
      </c>
      <c r="F82" s="736">
        <f t="shared" si="12"/>
        <v>0</v>
      </c>
      <c r="G82" s="737">
        <f t="shared" si="13"/>
        <v>0</v>
      </c>
      <c r="H82" s="705"/>
      <c r="I82" s="724"/>
      <c r="J82" s="724"/>
      <c r="K82" s="725"/>
      <c r="L82" s="737">
        <f t="shared" si="14"/>
        <v>0</v>
      </c>
      <c r="M82" s="726"/>
      <c r="N82" s="724"/>
      <c r="O82" s="725"/>
      <c r="P82" s="736">
        <f t="shared" si="9"/>
        <v>0</v>
      </c>
      <c r="Q82" s="737">
        <f t="shared" si="10"/>
        <v>0</v>
      </c>
      <c r="R82" s="705"/>
      <c r="S82" s="724"/>
      <c r="T82" s="724"/>
      <c r="U82" s="724"/>
      <c r="V82" s="725"/>
      <c r="W82" s="737">
        <f t="shared" si="11"/>
        <v>0</v>
      </c>
      <c r="X82" s="726"/>
      <c r="Y82" s="724"/>
      <c r="Z82" s="725"/>
    </row>
    <row r="83" spans="1:26" ht="12">
      <c r="A83" s="840">
        <f t="shared" si="15"/>
        <v>55</v>
      </c>
      <c r="B83" s="478" t="str">
        <f>+HLOOKUP($A83,'[4]EI2014'!$G$1:$BY$6,4,FALSE)</f>
        <v>103010</v>
      </c>
      <c r="C83" s="812" t="str">
        <f>+HLOOKUP($A83,'[4]EI2014'!$G$1:$BY$6,2,FALSE)</f>
        <v>Elhunyt személyek hátramaradottainak pénzbeli ellátása</v>
      </c>
      <c r="D83" s="735" t="str">
        <f>+HLOOKUP($A83,'[4]EI2014'!$G$1:$BY$6,6,FALSE)</f>
        <v>882123-1</v>
      </c>
      <c r="E83" s="740" t="str">
        <f>+HLOOKUP($A83,'[4]EI2014'!$G$1:$BY$6,5,FALSE)</f>
        <v>Temetési segély</v>
      </c>
      <c r="F83" s="736">
        <f t="shared" si="12"/>
        <v>0</v>
      </c>
      <c r="G83" s="737">
        <f t="shared" si="13"/>
        <v>0</v>
      </c>
      <c r="H83" s="705"/>
      <c r="I83" s="724"/>
      <c r="J83" s="724"/>
      <c r="K83" s="725"/>
      <c r="L83" s="737">
        <f t="shared" si="14"/>
        <v>0</v>
      </c>
      <c r="M83" s="726"/>
      <c r="N83" s="724"/>
      <c r="O83" s="725"/>
      <c r="P83" s="736">
        <f t="shared" si="9"/>
        <v>0</v>
      </c>
      <c r="Q83" s="737">
        <f t="shared" si="10"/>
        <v>0</v>
      </c>
      <c r="R83" s="705"/>
      <c r="S83" s="724"/>
      <c r="T83" s="724"/>
      <c r="U83" s="724"/>
      <c r="V83" s="725"/>
      <c r="W83" s="737">
        <f t="shared" si="11"/>
        <v>0</v>
      </c>
      <c r="X83" s="726"/>
      <c r="Y83" s="724"/>
      <c r="Z83" s="725"/>
    </row>
    <row r="84" spans="1:26" ht="12">
      <c r="A84" s="840">
        <f t="shared" si="15"/>
        <v>56</v>
      </c>
      <c r="B84" s="585" t="str">
        <f>+HLOOKUP($A84,'[4]EI2014'!$G$1:$BY$6,4,FALSE)</f>
        <v>106020</v>
      </c>
      <c r="C84" s="811" t="str">
        <f>+HLOOKUP($A84,'[4]EI2014'!$G$1:$BY$6,2,FALSE)</f>
        <v>Lakásfenntartással, lakhatással összefüggő ellátások</v>
      </c>
      <c r="D84" s="735" t="str">
        <f>+HLOOKUP($A84,'[4]EI2014'!$G$1:$BY$6,6,FALSE)</f>
        <v>882114-1</v>
      </c>
      <c r="E84" s="741" t="str">
        <f>+HLOOKUP($A84,'[4]EI2014'!$G$1:$BY$6,5,FALSE)</f>
        <v>Helyi rendszeres lakásfenntartási támogatás </v>
      </c>
      <c r="F84" s="736">
        <f t="shared" si="12"/>
        <v>0</v>
      </c>
      <c r="G84" s="737">
        <f t="shared" si="13"/>
        <v>0</v>
      </c>
      <c r="H84" s="705"/>
      <c r="I84" s="724"/>
      <c r="J84" s="724"/>
      <c r="K84" s="725"/>
      <c r="L84" s="737">
        <f t="shared" si="14"/>
        <v>0</v>
      </c>
      <c r="M84" s="726"/>
      <c r="N84" s="724"/>
      <c r="O84" s="725"/>
      <c r="P84" s="736">
        <f t="shared" si="9"/>
        <v>0</v>
      </c>
      <c r="Q84" s="737">
        <f t="shared" si="10"/>
        <v>0</v>
      </c>
      <c r="R84" s="705"/>
      <c r="S84" s="724"/>
      <c r="T84" s="724"/>
      <c r="U84" s="724"/>
      <c r="V84" s="725"/>
      <c r="W84" s="737">
        <f t="shared" si="11"/>
        <v>0</v>
      </c>
      <c r="X84" s="726"/>
      <c r="Y84" s="724"/>
      <c r="Z84" s="725"/>
    </row>
    <row r="85" spans="1:26" ht="12">
      <c r="A85" s="840">
        <f t="shared" si="15"/>
        <v>57</v>
      </c>
      <c r="B85" s="478" t="str">
        <f>+HLOOKUP($A85,'[4]EI2014'!$G$1:$BY$6,4,FALSE)</f>
        <v>106020</v>
      </c>
      <c r="C85" s="812" t="str">
        <f>+HLOOKUP($A85,'[4]EI2014'!$G$1:$BY$6,2,FALSE)</f>
        <v>Lakásfenntartással, lakhatással összefüggő ellátások</v>
      </c>
      <c r="D85" s="735" t="str">
        <f>+HLOOKUP($A85,'[4]EI2014'!$G$1:$BY$6,6,FALSE)</f>
        <v>882121-1</v>
      </c>
      <c r="E85" s="741" t="str">
        <f>+HLOOKUP($A85,'[4]EI2014'!$G$1:$BY$6,5,FALSE)</f>
        <v>Helyi eseti lakásfenntartási támogatás </v>
      </c>
      <c r="F85" s="736">
        <f t="shared" si="12"/>
        <v>0</v>
      </c>
      <c r="G85" s="737">
        <f t="shared" si="13"/>
        <v>0</v>
      </c>
      <c r="H85" s="705"/>
      <c r="I85" s="724"/>
      <c r="J85" s="724"/>
      <c r="K85" s="725"/>
      <c r="L85" s="737">
        <f t="shared" si="14"/>
        <v>0</v>
      </c>
      <c r="M85" s="726"/>
      <c r="N85" s="724"/>
      <c r="O85" s="725"/>
      <c r="P85" s="736">
        <f t="shared" si="9"/>
        <v>0</v>
      </c>
      <c r="Q85" s="737">
        <f t="shared" si="10"/>
        <v>0</v>
      </c>
      <c r="R85" s="705"/>
      <c r="S85" s="724"/>
      <c r="T85" s="724"/>
      <c r="U85" s="724"/>
      <c r="V85" s="725"/>
      <c r="W85" s="737">
        <f t="shared" si="11"/>
        <v>0</v>
      </c>
      <c r="X85" s="726"/>
      <c r="Y85" s="724"/>
      <c r="Z85" s="725"/>
    </row>
    <row r="86" spans="1:26" ht="12">
      <c r="A86" s="840">
        <f t="shared" si="15"/>
        <v>58</v>
      </c>
      <c r="B86" s="585" t="str">
        <f>+HLOOKUP($A86,'[4]EI2014'!$G$1:$BY$6,4,FALSE)</f>
        <v>-</v>
      </c>
      <c r="C86" s="811" t="str">
        <f>+HLOOKUP($A86,'[4]EI2014'!$G$1:$BY$6,2,FALSE)</f>
        <v>Szakterület szerint besorolandó</v>
      </c>
      <c r="D86" s="735" t="str">
        <f>+HLOOKUP($A86,'[4]EI2014'!$G$1:$BY$6,6,FALSE)</f>
        <v>842160-1</v>
      </c>
      <c r="E86" s="740" t="str">
        <f>+HLOOKUP($A86,'[4]EI2014'!$G$1:$BY$6,5,FALSE)</f>
        <v>Önkormányzatok m.n.s. nemzetközi kapcsolatai </v>
      </c>
      <c r="F86" s="736">
        <f t="shared" si="12"/>
        <v>0</v>
      </c>
      <c r="G86" s="737">
        <f t="shared" si="13"/>
        <v>0</v>
      </c>
      <c r="H86" s="705"/>
      <c r="I86" s="724"/>
      <c r="J86" s="706"/>
      <c r="K86" s="725"/>
      <c r="L86" s="737">
        <f t="shared" si="14"/>
        <v>0</v>
      </c>
      <c r="M86" s="726"/>
      <c r="N86" s="706"/>
      <c r="O86" s="725"/>
      <c r="P86" s="736">
        <f t="shared" si="9"/>
        <v>0</v>
      </c>
      <c r="Q86" s="737">
        <f t="shared" si="10"/>
        <v>0</v>
      </c>
      <c r="R86" s="705"/>
      <c r="S86" s="724"/>
      <c r="T86" s="724"/>
      <c r="U86" s="724"/>
      <c r="V86" s="725"/>
      <c r="W86" s="737">
        <f t="shared" si="11"/>
        <v>0</v>
      </c>
      <c r="X86" s="726"/>
      <c r="Y86" s="724"/>
      <c r="Z86" s="725"/>
    </row>
    <row r="87" spans="1:26" ht="12.75" thickBot="1">
      <c r="A87" s="840">
        <f t="shared" si="15"/>
        <v>59</v>
      </c>
      <c r="B87" s="478" t="str">
        <f>+HLOOKUP($A87,'[4]EI2014'!$G$1:$BY$6,4,FALSE)</f>
        <v>-</v>
      </c>
      <c r="C87" s="812" t="str">
        <f>+HLOOKUP($A87,'[4]EI2014'!$G$1:$BY$6,2,FALSE)</f>
        <v>Funkciók szerint bontandó</v>
      </c>
      <c r="D87" s="735" t="str">
        <f>+HLOOKUP($A87,'[4]EI2014'!$G$1:$BY$6,6,FALSE)</f>
        <v>882129-1</v>
      </c>
      <c r="E87" s="740" t="str">
        <f>+HLOOKUP($A87,'[4]EI2014'!$G$1:$BY$6,5,FALSE)</f>
        <v>Egyéb önkormányzati  eseti pénzbeli ellátások</v>
      </c>
      <c r="F87" s="736">
        <f t="shared" si="12"/>
        <v>0</v>
      </c>
      <c r="G87" s="737">
        <f t="shared" si="13"/>
        <v>0</v>
      </c>
      <c r="H87" s="705"/>
      <c r="I87" s="724"/>
      <c r="J87" s="724"/>
      <c r="K87" s="725"/>
      <c r="L87" s="737">
        <f t="shared" si="14"/>
        <v>0</v>
      </c>
      <c r="M87" s="726"/>
      <c r="N87" s="724"/>
      <c r="O87" s="725"/>
      <c r="P87" s="736">
        <f t="shared" si="9"/>
        <v>0</v>
      </c>
      <c r="Q87" s="737">
        <f t="shared" si="10"/>
        <v>0</v>
      </c>
      <c r="R87" s="705"/>
      <c r="S87" s="724"/>
      <c r="T87" s="724"/>
      <c r="U87" s="724"/>
      <c r="V87" s="725"/>
      <c r="W87" s="737">
        <f t="shared" si="11"/>
        <v>0</v>
      </c>
      <c r="X87" s="726"/>
      <c r="Y87" s="724"/>
      <c r="Z87" s="725"/>
    </row>
    <row r="88" spans="1:26" s="716" customFormat="1" ht="12.75" thickBot="1">
      <c r="A88" s="829" t="s">
        <v>766</v>
      </c>
      <c r="B88" s="1266" t="s">
        <v>483</v>
      </c>
      <c r="C88" s="1267"/>
      <c r="D88" s="1267"/>
      <c r="E88" s="1268"/>
      <c r="F88" s="753">
        <f>SUM(F72:F87)</f>
        <v>880</v>
      </c>
      <c r="G88" s="570">
        <f aca="true" t="shared" si="16" ref="G88:O88">SUM(G72:G87)</f>
        <v>180</v>
      </c>
      <c r="H88" s="754">
        <f t="shared" si="16"/>
        <v>0</v>
      </c>
      <c r="I88" s="486">
        <f t="shared" si="16"/>
        <v>180</v>
      </c>
      <c r="J88" s="486">
        <f t="shared" si="16"/>
        <v>0</v>
      </c>
      <c r="K88" s="472">
        <f t="shared" si="16"/>
        <v>0</v>
      </c>
      <c r="L88" s="570">
        <f t="shared" si="16"/>
        <v>700</v>
      </c>
      <c r="M88" s="754">
        <f t="shared" si="16"/>
        <v>0</v>
      </c>
      <c r="N88" s="486">
        <f t="shared" si="16"/>
        <v>0</v>
      </c>
      <c r="O88" s="472">
        <f t="shared" si="16"/>
        <v>700</v>
      </c>
      <c r="P88" s="753">
        <f>SUM(P72:P87)</f>
        <v>1180</v>
      </c>
      <c r="Q88" s="753">
        <f aca="true" t="shared" si="17" ref="Q88:Z88">SUM(Q72:Q87)</f>
        <v>1180</v>
      </c>
      <c r="R88" s="799">
        <f t="shared" si="17"/>
        <v>180</v>
      </c>
      <c r="S88" s="797">
        <f t="shared" si="17"/>
        <v>0</v>
      </c>
      <c r="T88" s="797">
        <f t="shared" si="17"/>
        <v>0</v>
      </c>
      <c r="U88" s="797">
        <f t="shared" si="17"/>
        <v>0</v>
      </c>
      <c r="V88" s="570">
        <f t="shared" si="17"/>
        <v>1000</v>
      </c>
      <c r="W88" s="798">
        <f t="shared" si="17"/>
        <v>0</v>
      </c>
      <c r="X88" s="796">
        <f t="shared" si="17"/>
        <v>0</v>
      </c>
      <c r="Y88" s="797">
        <f t="shared" si="17"/>
        <v>0</v>
      </c>
      <c r="Z88" s="570">
        <f t="shared" si="17"/>
        <v>0</v>
      </c>
    </row>
    <row r="89" spans="1:26" s="720" customFormat="1" ht="24">
      <c r="A89" s="839">
        <f>+A87+1</f>
        <v>60</v>
      </c>
      <c r="B89" s="478" t="str">
        <f>+HLOOKUP($A89,'[4]EI2014'!$G$1:$BY$6,4,FALSE)</f>
        <v>016010</v>
      </c>
      <c r="C89" s="812" t="str">
        <f>+HLOOKUP($A89,'[4]EI2014'!$G$1:$BY$6,2,FALSE)</f>
        <v>Országgyűlési, önkormányzati és európai parlamenti képviselőválasztásokhoz kapcsolódó tevékenységek</v>
      </c>
      <c r="D89" s="723" t="str">
        <f>+HLOOKUP($A89,'[4]EI2014'!$G$1:$BY$6,6,FALSE)</f>
        <v>841114-1</v>
      </c>
      <c r="E89" s="722" t="str">
        <f>+HLOOKUP($A89,'[4]EI2014'!$G$1:$BY$6,5,FALSE)</f>
        <v>Országgyűlési képviselőválasztáshoz kapcsolódó tevékenységek</v>
      </c>
      <c r="F89" s="710">
        <f>+G89+L89</f>
        <v>0</v>
      </c>
      <c r="G89" s="711">
        <f>+H89+I89+J89+K89</f>
        <v>0</v>
      </c>
      <c r="H89" s="705"/>
      <c r="I89" s="724"/>
      <c r="J89" s="724"/>
      <c r="K89" s="725"/>
      <c r="L89" s="711">
        <f>+M89+N89+O89</f>
        <v>0</v>
      </c>
      <c r="M89" s="726"/>
      <c r="N89" s="724"/>
      <c r="O89" s="725"/>
      <c r="P89" s="710">
        <f>+Q89+W89</f>
        <v>0</v>
      </c>
      <c r="Q89" s="711">
        <f>+R89+S89+T89+U89+V89</f>
        <v>0</v>
      </c>
      <c r="R89" s="705"/>
      <c r="S89" s="724"/>
      <c r="T89" s="724"/>
      <c r="U89" s="724"/>
      <c r="V89" s="725"/>
      <c r="W89" s="711">
        <f>+X89+Y89+Z89</f>
        <v>0</v>
      </c>
      <c r="X89" s="726"/>
      <c r="Y89" s="724"/>
      <c r="Z89" s="725"/>
    </row>
    <row r="90" spans="1:26" s="720" customFormat="1" ht="24">
      <c r="A90" s="839">
        <f>+A89+1</f>
        <v>61</v>
      </c>
      <c r="B90" s="478" t="str">
        <f>+HLOOKUP($A90,'[4]EI2014'!$G$1:$BY$6,4,FALSE)</f>
        <v>016010</v>
      </c>
      <c r="C90" s="812" t="str">
        <f>+HLOOKUP($A90,'[4]EI2014'!$G$1:$BY$6,2,FALSE)</f>
        <v>Országgyűlési, önkormányzati és európai parlamenti képviselőválasztásokhoz kapcsolódó tevékenységek</v>
      </c>
      <c r="D90" s="723" t="str">
        <f>+HLOOKUP($A90,'[4]EI2014'!$G$1:$BY$6,6,FALSE)</f>
        <v>841115-1</v>
      </c>
      <c r="E90" s="734" t="str">
        <f>+HLOOKUP($A90,'[4]EI2014'!$G$1:$BY$6,5,FALSE)</f>
        <v>Önkormányzati képviselőválasztáshoz kapcsolódó tevékenységek </v>
      </c>
      <c r="F90" s="710">
        <f>+G90+L90</f>
        <v>0</v>
      </c>
      <c r="G90" s="711">
        <f>+H90+I90+J90+K90</f>
        <v>0</v>
      </c>
      <c r="H90" s="705"/>
      <c r="I90" s="724"/>
      <c r="J90" s="724"/>
      <c r="K90" s="725"/>
      <c r="L90" s="711">
        <f>+M90+N90+O90</f>
        <v>0</v>
      </c>
      <c r="M90" s="726"/>
      <c r="N90" s="724"/>
      <c r="O90" s="725"/>
      <c r="P90" s="710">
        <f>+Q90+W90</f>
        <v>0</v>
      </c>
      <c r="Q90" s="711">
        <f>+R90+S90+T90+U90+V90</f>
        <v>0</v>
      </c>
      <c r="R90" s="705"/>
      <c r="S90" s="724"/>
      <c r="T90" s="724"/>
      <c r="U90" s="724"/>
      <c r="V90" s="725"/>
      <c r="W90" s="711">
        <f>+X90+Y90+Z90</f>
        <v>0</v>
      </c>
      <c r="X90" s="726"/>
      <c r="Y90" s="724"/>
      <c r="Z90" s="725"/>
    </row>
    <row r="91" spans="1:26" s="720" customFormat="1" ht="24">
      <c r="A91" s="839">
        <f>+A90+1</f>
        <v>62</v>
      </c>
      <c r="B91" s="478" t="str">
        <f>+HLOOKUP($A91,'[4]EI2014'!$G$1:$BY$6,4,FALSE)</f>
        <v>016010</v>
      </c>
      <c r="C91" s="812" t="str">
        <f>+HLOOKUP($A91,'[4]EI2014'!$G$1:$BY$6,2,FALSE)</f>
        <v>Országgyűlési, önkormányzati és európai parlamenti képviselőválasztásokhoz kapcsolódó tevékenységek</v>
      </c>
      <c r="D91" s="723" t="str">
        <f>+HLOOKUP($A91,'[4]EI2014'!$G$1:$BY$6,6,FALSE)</f>
        <v>841116-1</v>
      </c>
      <c r="E91" s="722" t="str">
        <f>+HLOOKUP($A91,'[4]EI2014'!$G$1:$BY$6,5,FALSE)</f>
        <v>Országos és helyi nemzetiségi önkormányzati választásokhoz kapcsolódó tevékenységek</v>
      </c>
      <c r="F91" s="710">
        <f>+G91+L91</f>
        <v>0</v>
      </c>
      <c r="G91" s="711">
        <f>+H91+I91+J91+K91</f>
        <v>0</v>
      </c>
      <c r="H91" s="705"/>
      <c r="I91" s="724"/>
      <c r="J91" s="724"/>
      <c r="K91" s="725"/>
      <c r="L91" s="711">
        <f>+M91+N91+O91</f>
        <v>0</v>
      </c>
      <c r="M91" s="726"/>
      <c r="N91" s="724"/>
      <c r="O91" s="725"/>
      <c r="P91" s="710">
        <f>+Q91+W91</f>
        <v>0</v>
      </c>
      <c r="Q91" s="711">
        <f>+R91+S91+T91+U91+V91</f>
        <v>0</v>
      </c>
      <c r="R91" s="705"/>
      <c r="S91" s="724"/>
      <c r="T91" s="724"/>
      <c r="U91" s="724"/>
      <c r="V91" s="725"/>
      <c r="W91" s="711">
        <f>+X91+Y91+Z91</f>
        <v>0</v>
      </c>
      <c r="X91" s="726"/>
      <c r="Y91" s="724"/>
      <c r="Z91" s="725"/>
    </row>
    <row r="92" spans="1:26" ht="24.75" thickBot="1">
      <c r="A92" s="839">
        <f>+A91+1</f>
        <v>63</v>
      </c>
      <c r="B92" s="585" t="str">
        <f>+HLOOKUP($A92,'[4]EI2014'!$G$1:$BY$6,4,FALSE)</f>
        <v>016010</v>
      </c>
      <c r="C92" s="811" t="str">
        <f>+HLOOKUP($A92,'[4]EI2014'!$G$1:$BY$6,2,FALSE)</f>
        <v>Országgyűlési, önkormányzati és európai parlamenti képviselőválasztásokhoz kapcsolódó tevékenységek</v>
      </c>
      <c r="D92" s="723" t="str">
        <f>+HLOOKUP($A92,'[4]EI2014'!$G$1:$BY$6,6,FALSE)</f>
        <v>841117-1</v>
      </c>
      <c r="E92" s="755" t="str">
        <f>+HLOOKUP($A92,'[4]EI2014'!$G$1:$BY$6,5,FALSE)</f>
        <v>Európai parlamenti képviselőválasztáshoz kapcsolódó tevékenységek </v>
      </c>
      <c r="F92" s="710">
        <f>+G92+L92</f>
        <v>0</v>
      </c>
      <c r="G92" s="711">
        <f>+H92+I92+J92+K92</f>
        <v>0</v>
      </c>
      <c r="H92" s="705"/>
      <c r="I92" s="706"/>
      <c r="J92" s="706"/>
      <c r="K92" s="707"/>
      <c r="L92" s="711">
        <f>+M92+N92+O92</f>
        <v>0</v>
      </c>
      <c r="M92" s="705"/>
      <c r="N92" s="706"/>
      <c r="O92" s="707"/>
      <c r="P92" s="736">
        <f>+Q92+W92</f>
        <v>0</v>
      </c>
      <c r="Q92" s="737">
        <f>+R92+S92+T92+U92+V92</f>
        <v>0</v>
      </c>
      <c r="R92" s="726"/>
      <c r="S92" s="724"/>
      <c r="T92" s="724"/>
      <c r="U92" s="724"/>
      <c r="V92" s="725"/>
      <c r="W92" s="737">
        <f>+X92+Y92+Z92</f>
        <v>0</v>
      </c>
      <c r="X92" s="726"/>
      <c r="Y92" s="724"/>
      <c r="Z92" s="725"/>
    </row>
    <row r="93" spans="1:26" s="716" customFormat="1" ht="12.75" thickBot="1">
      <c r="A93" s="829" t="s">
        <v>767</v>
      </c>
      <c r="B93" s="1266" t="s">
        <v>484</v>
      </c>
      <c r="C93" s="1267"/>
      <c r="D93" s="1267"/>
      <c r="E93" s="1268"/>
      <c r="F93" s="753">
        <f aca="true" t="shared" si="18" ref="F93:O93">SUM(F89:F92)</f>
        <v>0</v>
      </c>
      <c r="G93" s="570">
        <f t="shared" si="18"/>
        <v>0</v>
      </c>
      <c r="H93" s="754">
        <f t="shared" si="18"/>
        <v>0</v>
      </c>
      <c r="I93" s="486">
        <f t="shared" si="18"/>
        <v>0</v>
      </c>
      <c r="J93" s="486">
        <f t="shared" si="18"/>
        <v>0</v>
      </c>
      <c r="K93" s="472">
        <f t="shared" si="18"/>
        <v>0</v>
      </c>
      <c r="L93" s="570">
        <f t="shared" si="18"/>
        <v>0</v>
      </c>
      <c r="M93" s="754">
        <f t="shared" si="18"/>
        <v>0</v>
      </c>
      <c r="N93" s="486">
        <f t="shared" si="18"/>
        <v>0</v>
      </c>
      <c r="O93" s="472">
        <f t="shared" si="18"/>
        <v>0</v>
      </c>
      <c r="P93" s="753">
        <f>SUM(P89:P92)</f>
        <v>0</v>
      </c>
      <c r="Q93" s="753">
        <f aca="true" t="shared" si="19" ref="Q93:Z93">SUM(Q89:Q92)</f>
        <v>0</v>
      </c>
      <c r="R93" s="799">
        <f t="shared" si="19"/>
        <v>0</v>
      </c>
      <c r="S93" s="797">
        <f t="shared" si="19"/>
        <v>0</v>
      </c>
      <c r="T93" s="797">
        <f t="shared" si="19"/>
        <v>0</v>
      </c>
      <c r="U93" s="797">
        <f t="shared" si="19"/>
        <v>0</v>
      </c>
      <c r="V93" s="570">
        <f t="shared" si="19"/>
        <v>0</v>
      </c>
      <c r="W93" s="798">
        <f t="shared" si="19"/>
        <v>0</v>
      </c>
      <c r="X93" s="796">
        <f t="shared" si="19"/>
        <v>0</v>
      </c>
      <c r="Y93" s="797">
        <f t="shared" si="19"/>
        <v>0</v>
      </c>
      <c r="Z93" s="570">
        <f t="shared" si="19"/>
        <v>0</v>
      </c>
    </row>
    <row r="94" spans="1:26" s="716" customFormat="1" ht="12.75" thickBot="1">
      <c r="A94" s="830" t="s">
        <v>42</v>
      </c>
      <c r="B94" s="1269" t="s">
        <v>485</v>
      </c>
      <c r="C94" s="1270"/>
      <c r="D94" s="1270"/>
      <c r="E94" s="1271"/>
      <c r="F94" s="757">
        <f aca="true" t="shared" si="20" ref="F94:O94">+F71+F88+F93</f>
        <v>-32271</v>
      </c>
      <c r="G94" s="757">
        <f t="shared" si="20"/>
        <v>-32866</v>
      </c>
      <c r="H94" s="758">
        <f t="shared" si="20"/>
        <v>-33046</v>
      </c>
      <c r="I94" s="759">
        <f t="shared" si="20"/>
        <v>180</v>
      </c>
      <c r="J94" s="759">
        <f t="shared" si="20"/>
        <v>0</v>
      </c>
      <c r="K94" s="760">
        <f t="shared" si="20"/>
        <v>0</v>
      </c>
      <c r="L94" s="757">
        <f t="shared" si="20"/>
        <v>595</v>
      </c>
      <c r="M94" s="758">
        <f t="shared" si="20"/>
        <v>-105</v>
      </c>
      <c r="N94" s="759">
        <f t="shared" si="20"/>
        <v>0</v>
      </c>
      <c r="O94" s="760">
        <f t="shared" si="20"/>
        <v>700</v>
      </c>
      <c r="P94" s="757">
        <f>+P71+P88+P93</f>
        <v>-26678</v>
      </c>
      <c r="Q94" s="757">
        <f aca="true" t="shared" si="21" ref="Q94:Z94">+Q71+Q88+Q93</f>
        <v>-26678</v>
      </c>
      <c r="R94" s="800">
        <f t="shared" si="21"/>
        <v>1499</v>
      </c>
      <c r="S94" s="801">
        <f t="shared" si="21"/>
        <v>356</v>
      </c>
      <c r="T94" s="801">
        <f t="shared" si="21"/>
        <v>-12287</v>
      </c>
      <c r="U94" s="801">
        <f t="shared" si="21"/>
        <v>-37063</v>
      </c>
      <c r="V94" s="802">
        <f t="shared" si="21"/>
        <v>20817</v>
      </c>
      <c r="W94" s="757">
        <f t="shared" si="21"/>
        <v>0</v>
      </c>
      <c r="X94" s="800">
        <f t="shared" si="21"/>
        <v>0</v>
      </c>
      <c r="Y94" s="801">
        <f t="shared" si="21"/>
        <v>0</v>
      </c>
      <c r="Z94" s="802">
        <f t="shared" si="21"/>
        <v>0</v>
      </c>
    </row>
    <row r="95" spans="1:26" ht="12.75" thickBot="1">
      <c r="A95" s="841"/>
      <c r="B95" s="848"/>
      <c r="C95" s="815"/>
      <c r="D95" s="763"/>
      <c r="E95" s="762"/>
      <c r="F95" s="764"/>
      <c r="G95" s="765"/>
      <c r="H95" s="766"/>
      <c r="I95" s="767"/>
      <c r="J95" s="767"/>
      <c r="K95" s="768"/>
      <c r="L95" s="765"/>
      <c r="M95" s="766"/>
      <c r="N95" s="767"/>
      <c r="O95" s="768"/>
      <c r="P95" s="764"/>
      <c r="Q95" s="765"/>
      <c r="R95" s="766"/>
      <c r="S95" s="767"/>
      <c r="T95" s="767"/>
      <c r="U95" s="767"/>
      <c r="V95" s="768"/>
      <c r="W95" s="765"/>
      <c r="X95" s="766"/>
      <c r="Y95" s="767"/>
      <c r="Z95" s="768"/>
    </row>
    <row r="96" spans="1:26" s="748" customFormat="1" ht="12">
      <c r="A96" s="842">
        <f>+A92+1</f>
        <v>64</v>
      </c>
      <c r="B96" s="480" t="str">
        <f>+HLOOKUP($A96,'[4]EI2014'!$G$1:$BY$6,4,FALSE)</f>
        <v>011130</v>
      </c>
      <c r="C96" s="816" t="str">
        <f>+HLOOKUP($A96,'[4]EI2014'!$G$1:$BY$6,2,FALSE)</f>
        <v>Önkormányzatok és önkormányzati hivatalok jogalkotó és általános igazgatási tevékenysége</v>
      </c>
      <c r="D96" s="770" t="str">
        <f>+HLOOKUP($A96,'[4]EI2014'!$G$1:$BY$6,6,FALSE)</f>
        <v>841112-1</v>
      </c>
      <c r="E96" s="769" t="str">
        <f>+HLOOKUP($A96,'[4]EI2014'!$G$1:$BY$6,5,FALSE)</f>
        <v>Önkormányzati jogalkotás</v>
      </c>
      <c r="F96" s="708">
        <f aca="true" t="shared" si="22" ref="F96:F105">+G96+L96</f>
        <v>0</v>
      </c>
      <c r="G96" s="709">
        <f aca="true" t="shared" si="23" ref="G96:G105">+H96+I96+J96+K96</f>
        <v>0</v>
      </c>
      <c r="H96" s="702"/>
      <c r="I96" s="703"/>
      <c r="J96" s="703"/>
      <c r="K96" s="704"/>
      <c r="L96" s="709">
        <f aca="true" t="shared" si="24" ref="L96:L105">+M96+N96+O96</f>
        <v>0</v>
      </c>
      <c r="M96" s="702"/>
      <c r="N96" s="703"/>
      <c r="O96" s="704"/>
      <c r="P96" s="708">
        <f aca="true" t="shared" si="25" ref="P96:P105">+Q96+W96</f>
        <v>0</v>
      </c>
      <c r="Q96" s="709">
        <f aca="true" t="shared" si="26" ref="Q96:Q105">+R96+S96+T96+U96+V96</f>
        <v>0</v>
      </c>
      <c r="R96" s="702"/>
      <c r="S96" s="703"/>
      <c r="T96" s="703"/>
      <c r="U96" s="703"/>
      <c r="V96" s="704"/>
      <c r="W96" s="709">
        <f aca="true" t="shared" si="27" ref="W96:W105">+X96+Y96+Z96</f>
        <v>0</v>
      </c>
      <c r="X96" s="702"/>
      <c r="Y96" s="703"/>
      <c r="Z96" s="704"/>
    </row>
    <row r="97" spans="1:26" s="1201" customFormat="1" ht="12" customHeight="1">
      <c r="A97" s="1251" t="s">
        <v>1343</v>
      </c>
      <c r="B97" s="1252"/>
      <c r="C97" s="1252"/>
      <c r="D97" s="1252"/>
      <c r="E97" s="1253"/>
      <c r="F97" s="1193">
        <f t="shared" si="22"/>
        <v>0</v>
      </c>
      <c r="G97" s="1194">
        <f t="shared" si="23"/>
        <v>0</v>
      </c>
      <c r="H97" s="1195"/>
      <c r="I97" s="1196"/>
      <c r="J97" s="1196"/>
      <c r="K97" s="1197"/>
      <c r="L97" s="1194">
        <f t="shared" si="24"/>
        <v>0</v>
      </c>
      <c r="M97" s="1195"/>
      <c r="N97" s="1196"/>
      <c r="O97" s="1197"/>
      <c r="P97" s="1193">
        <f t="shared" si="25"/>
        <v>-663</v>
      </c>
      <c r="Q97" s="1194">
        <f t="shared" si="26"/>
        <v>-663</v>
      </c>
      <c r="R97" s="1195">
        <v>-522</v>
      </c>
      <c r="S97" s="1198">
        <v>-141</v>
      </c>
      <c r="T97" s="1198"/>
      <c r="U97" s="1198"/>
      <c r="V97" s="1199"/>
      <c r="W97" s="1194">
        <f t="shared" si="27"/>
        <v>0</v>
      </c>
      <c r="X97" s="1200"/>
      <c r="Y97" s="1198"/>
      <c r="Z97" s="1199"/>
    </row>
    <row r="98" spans="1:26" s="1201" customFormat="1" ht="12" customHeight="1">
      <c r="A98" s="1251" t="s">
        <v>1344</v>
      </c>
      <c r="B98" s="1252"/>
      <c r="C98" s="1252"/>
      <c r="D98" s="1252"/>
      <c r="E98" s="1253"/>
      <c r="F98" s="1193">
        <f t="shared" si="22"/>
        <v>0</v>
      </c>
      <c r="G98" s="1194">
        <f t="shared" si="23"/>
        <v>0</v>
      </c>
      <c r="H98" s="1195"/>
      <c r="I98" s="1196"/>
      <c r="J98" s="1196"/>
      <c r="K98" s="1197"/>
      <c r="L98" s="1194">
        <f t="shared" si="24"/>
        <v>0</v>
      </c>
      <c r="M98" s="1195"/>
      <c r="N98" s="1196"/>
      <c r="O98" s="1197"/>
      <c r="P98" s="1193">
        <f t="shared" si="25"/>
        <v>0</v>
      </c>
      <c r="Q98" s="1194">
        <f t="shared" si="26"/>
        <v>0</v>
      </c>
      <c r="R98" s="1195">
        <v>750</v>
      </c>
      <c r="S98" s="1198"/>
      <c r="T98" s="1198">
        <v>-750</v>
      </c>
      <c r="U98" s="1198"/>
      <c r="V98" s="1199"/>
      <c r="W98" s="1194">
        <f t="shared" si="27"/>
        <v>0</v>
      </c>
      <c r="X98" s="1200"/>
      <c r="Y98" s="1198"/>
      <c r="Z98" s="1199"/>
    </row>
    <row r="99" spans="1:26" s="720" customFormat="1" ht="12">
      <c r="A99" s="839">
        <f>+A96+1</f>
        <v>65</v>
      </c>
      <c r="B99" s="478" t="str">
        <f>+HLOOKUP($A99,'[4]EI2014'!$G$1:$BY$6,4,FALSE)</f>
        <v>011130</v>
      </c>
      <c r="C99" s="812" t="str">
        <f>+HLOOKUP($A99,'[4]EI2014'!$G$1:$BY$6,2,FALSE)</f>
        <v>Önkormányzatok és önkormányzati hivatalok jogalkotó és általános igazgatási tevékenysége</v>
      </c>
      <c r="D99" s="723" t="str">
        <f>+HLOOKUP($A99,'[4]EI2014'!$G$1:$BY$6,6,FALSE)</f>
        <v>841126-1</v>
      </c>
      <c r="E99" s="722" t="str">
        <f>+HLOOKUP($A99,'[4]EI2014'!$G$1:$BY$6,5,FALSE)</f>
        <v>Önkormányzatok és társulások általános végrehajtó igazgatási tevékenysége</v>
      </c>
      <c r="F99" s="710">
        <f t="shared" si="22"/>
        <v>0</v>
      </c>
      <c r="G99" s="711">
        <f t="shared" si="23"/>
        <v>0</v>
      </c>
      <c r="H99" s="726"/>
      <c r="I99" s="724"/>
      <c r="J99" s="724"/>
      <c r="K99" s="725"/>
      <c r="L99" s="711">
        <f t="shared" si="24"/>
        <v>0</v>
      </c>
      <c r="M99" s="726"/>
      <c r="N99" s="724"/>
      <c r="O99" s="725"/>
      <c r="P99" s="710">
        <f t="shared" si="25"/>
        <v>0</v>
      </c>
      <c r="Q99" s="711">
        <f t="shared" si="26"/>
        <v>0</v>
      </c>
      <c r="R99" s="726"/>
      <c r="S99" s="724"/>
      <c r="T99" s="724"/>
      <c r="U99" s="724"/>
      <c r="V99" s="725"/>
      <c r="W99" s="711">
        <f t="shared" si="27"/>
        <v>0</v>
      </c>
      <c r="X99" s="726"/>
      <c r="Y99" s="724"/>
      <c r="Z99" s="725"/>
    </row>
    <row r="100" spans="1:26" s="1201" customFormat="1" ht="12" customHeight="1">
      <c r="A100" s="1251" t="s">
        <v>1331</v>
      </c>
      <c r="B100" s="1252"/>
      <c r="C100" s="1252"/>
      <c r="D100" s="1252"/>
      <c r="E100" s="1253"/>
      <c r="F100" s="1193">
        <f t="shared" si="22"/>
        <v>0</v>
      </c>
      <c r="G100" s="1194">
        <f t="shared" si="23"/>
        <v>0</v>
      </c>
      <c r="H100" s="1195"/>
      <c r="I100" s="1196"/>
      <c r="J100" s="1196"/>
      <c r="K100" s="1197"/>
      <c r="L100" s="1194">
        <f t="shared" si="24"/>
        <v>0</v>
      </c>
      <c r="M100" s="1195"/>
      <c r="N100" s="1196"/>
      <c r="O100" s="1197"/>
      <c r="P100" s="1193">
        <f t="shared" si="25"/>
        <v>-1817</v>
      </c>
      <c r="Q100" s="1194">
        <f t="shared" si="26"/>
        <v>-1817</v>
      </c>
      <c r="R100" s="1195">
        <v>-1431</v>
      </c>
      <c r="S100" s="1198">
        <v>-386</v>
      </c>
      <c r="T100" s="1198"/>
      <c r="U100" s="1198"/>
      <c r="V100" s="1199"/>
      <c r="W100" s="1194">
        <f t="shared" si="27"/>
        <v>0</v>
      </c>
      <c r="X100" s="1200"/>
      <c r="Y100" s="1198"/>
      <c r="Z100" s="1199"/>
    </row>
    <row r="101" spans="1:26" s="1201" customFormat="1" ht="12" customHeight="1">
      <c r="A101" s="1251" t="s">
        <v>1345</v>
      </c>
      <c r="B101" s="1252"/>
      <c r="C101" s="1252"/>
      <c r="D101" s="1252"/>
      <c r="E101" s="1253"/>
      <c r="F101" s="1193">
        <f t="shared" si="22"/>
        <v>0</v>
      </c>
      <c r="G101" s="1194">
        <f t="shared" si="23"/>
        <v>0</v>
      </c>
      <c r="H101" s="1195"/>
      <c r="I101" s="1196"/>
      <c r="J101" s="1196"/>
      <c r="K101" s="1197"/>
      <c r="L101" s="1194">
        <f t="shared" si="24"/>
        <v>0</v>
      </c>
      <c r="M101" s="1195"/>
      <c r="N101" s="1196"/>
      <c r="O101" s="1197"/>
      <c r="P101" s="1193">
        <f t="shared" si="25"/>
        <v>-2540</v>
      </c>
      <c r="Q101" s="1194">
        <f t="shared" si="26"/>
        <v>12700</v>
      </c>
      <c r="R101" s="1195"/>
      <c r="S101" s="1198"/>
      <c r="T101" s="1198">
        <v>12700</v>
      </c>
      <c r="U101" s="1198"/>
      <c r="V101" s="1199"/>
      <c r="W101" s="1194">
        <f t="shared" si="27"/>
        <v>-15240</v>
      </c>
      <c r="X101" s="1200">
        <v>-15240</v>
      </c>
      <c r="Y101" s="1198"/>
      <c r="Z101" s="1199"/>
    </row>
    <row r="102" spans="1:26" s="1201" customFormat="1" ht="12" customHeight="1">
      <c r="A102" s="1251" t="s">
        <v>1346</v>
      </c>
      <c r="B102" s="1252"/>
      <c r="C102" s="1252"/>
      <c r="D102" s="1252"/>
      <c r="E102" s="1253"/>
      <c r="F102" s="1193">
        <f t="shared" si="22"/>
        <v>0</v>
      </c>
      <c r="G102" s="1194">
        <f t="shared" si="23"/>
        <v>0</v>
      </c>
      <c r="H102" s="1195"/>
      <c r="I102" s="1196"/>
      <c r="J102" s="1196"/>
      <c r="K102" s="1197"/>
      <c r="L102" s="1194">
        <f t="shared" si="24"/>
        <v>0</v>
      </c>
      <c r="M102" s="1195"/>
      <c r="N102" s="1196"/>
      <c r="O102" s="1197"/>
      <c r="P102" s="1193">
        <f t="shared" si="25"/>
        <v>559</v>
      </c>
      <c r="Q102" s="1194">
        <f t="shared" si="26"/>
        <v>559</v>
      </c>
      <c r="R102" s="1195"/>
      <c r="S102" s="1198"/>
      <c r="T102" s="1198">
        <v>559</v>
      </c>
      <c r="U102" s="1198"/>
      <c r="V102" s="1199"/>
      <c r="W102" s="1194">
        <f t="shared" si="27"/>
        <v>0</v>
      </c>
      <c r="X102" s="1200"/>
      <c r="Y102" s="1198"/>
      <c r="Z102" s="1199"/>
    </row>
    <row r="103" spans="1:26" s="1201" customFormat="1" ht="12" customHeight="1">
      <c r="A103" s="1251" t="s">
        <v>1344</v>
      </c>
      <c r="B103" s="1252"/>
      <c r="C103" s="1252"/>
      <c r="D103" s="1252"/>
      <c r="E103" s="1253"/>
      <c r="F103" s="1193">
        <f t="shared" si="22"/>
        <v>0</v>
      </c>
      <c r="G103" s="1194">
        <f t="shared" si="23"/>
        <v>0</v>
      </c>
      <c r="H103" s="1195"/>
      <c r="I103" s="1196"/>
      <c r="J103" s="1196"/>
      <c r="K103" s="1197"/>
      <c r="L103" s="1194">
        <f t="shared" si="24"/>
        <v>0</v>
      </c>
      <c r="M103" s="1195"/>
      <c r="N103" s="1196"/>
      <c r="O103" s="1197"/>
      <c r="P103" s="1193">
        <f t="shared" si="25"/>
        <v>0</v>
      </c>
      <c r="Q103" s="1194">
        <f t="shared" si="26"/>
        <v>0</v>
      </c>
      <c r="R103" s="1195">
        <v>610</v>
      </c>
      <c r="S103" s="1198"/>
      <c r="T103" s="1198">
        <v>-610</v>
      </c>
      <c r="U103" s="1198"/>
      <c r="V103" s="1199"/>
      <c r="W103" s="1194">
        <f t="shared" si="27"/>
        <v>0</v>
      </c>
      <c r="X103" s="1200"/>
      <c r="Y103" s="1198"/>
      <c r="Z103" s="1199"/>
    </row>
    <row r="104" spans="1:26" s="720" customFormat="1" ht="24">
      <c r="A104" s="839">
        <f>+A99+1</f>
        <v>66</v>
      </c>
      <c r="B104" s="478" t="str">
        <f>+HLOOKUP($A104,'[4]EI2014'!$G$1:$BY$6,4,FALSE)</f>
        <v>011130</v>
      </c>
      <c r="C104" s="812" t="str">
        <f>+HLOOKUP($A104,'[4]EI2014'!$G$1:$BY$6,2,FALSE)</f>
        <v>Önkormányzatok és önkormányzati hivatalok jogalkotó és általános igazgatási tevékenysége</v>
      </c>
      <c r="D104" s="723" t="str">
        <f>+HLOOKUP($A104,'[4]EI2014'!$G$1:$BY$6,6,FALSE)</f>
        <v>841126-1</v>
      </c>
      <c r="E104" s="722" t="str">
        <f>+HLOOKUP($A104,'[4]EI2014'!$G$1:$BY$6,5,FALSE)</f>
        <v>Önkormányzatok és társulások általános végrehajtó igazgatási tevékenysége (ÁROP Hivatal fejlesztés)</v>
      </c>
      <c r="F104" s="710">
        <f t="shared" si="22"/>
        <v>0</v>
      </c>
      <c r="G104" s="711">
        <f t="shared" si="23"/>
        <v>0</v>
      </c>
      <c r="H104" s="726"/>
      <c r="I104" s="724"/>
      <c r="J104" s="724"/>
      <c r="K104" s="725"/>
      <c r="L104" s="711">
        <f t="shared" si="24"/>
        <v>0</v>
      </c>
      <c r="M104" s="726"/>
      <c r="N104" s="724"/>
      <c r="O104" s="725"/>
      <c r="P104" s="710">
        <f t="shared" si="25"/>
        <v>0</v>
      </c>
      <c r="Q104" s="711">
        <f t="shared" si="26"/>
        <v>0</v>
      </c>
      <c r="R104" s="726"/>
      <c r="S104" s="724"/>
      <c r="T104" s="724"/>
      <c r="U104" s="724"/>
      <c r="V104" s="725"/>
      <c r="W104" s="711">
        <f t="shared" si="27"/>
        <v>0</v>
      </c>
      <c r="X104" s="726"/>
      <c r="Y104" s="724"/>
      <c r="Z104" s="725"/>
    </row>
    <row r="105" spans="1:26" ht="12.75" thickBot="1">
      <c r="A105" s="839">
        <f>+A104+1</f>
        <v>67</v>
      </c>
      <c r="B105" s="478" t="str">
        <f>+HLOOKUP($A105,'[4]EI2014'!$G$1:$BY$6,4,FALSE)</f>
        <v>013360</v>
      </c>
      <c r="C105" s="812" t="str">
        <f>+HLOOKUP($A105,'[4]EI2014'!$G$1:$BY$6,2,FALSE)</f>
        <v>Más szerv részére végzett pénzügyi-gazdálkodási, üzemeltetési, egyéb szolgáltatások</v>
      </c>
      <c r="D105" s="735" t="str">
        <f>+HLOOKUP($A105,'[4]EI2014'!$G$1:$BY$6,6,FALSE)</f>
        <v>811000-1</v>
      </c>
      <c r="E105" s="741" t="str">
        <f>+HLOOKUP($A105,'[4]EI2014'!$G$1:$BY$6,5,FALSE)</f>
        <v>Építmény üzemeltetés</v>
      </c>
      <c r="F105" s="736">
        <f t="shared" si="22"/>
        <v>0</v>
      </c>
      <c r="G105" s="737">
        <f t="shared" si="23"/>
        <v>0</v>
      </c>
      <c r="H105" s="726"/>
      <c r="I105" s="724"/>
      <c r="J105" s="724"/>
      <c r="K105" s="725"/>
      <c r="L105" s="737">
        <f t="shared" si="24"/>
        <v>0</v>
      </c>
      <c r="M105" s="726"/>
      <c r="N105" s="724"/>
      <c r="O105" s="725"/>
      <c r="P105" s="710">
        <f t="shared" si="25"/>
        <v>0</v>
      </c>
      <c r="Q105" s="711">
        <f t="shared" si="26"/>
        <v>0</v>
      </c>
      <c r="R105" s="726"/>
      <c r="S105" s="724"/>
      <c r="T105" s="724"/>
      <c r="U105" s="724"/>
      <c r="V105" s="725"/>
      <c r="W105" s="711">
        <f t="shared" si="27"/>
        <v>0</v>
      </c>
      <c r="X105" s="726"/>
      <c r="Y105" s="724"/>
      <c r="Z105" s="725"/>
    </row>
    <row r="106" spans="1:26" s="716" customFormat="1" ht="12.75" thickBot="1">
      <c r="A106" s="829" t="s">
        <v>775</v>
      </c>
      <c r="B106" s="1266" t="s">
        <v>502</v>
      </c>
      <c r="C106" s="1267"/>
      <c r="D106" s="1267"/>
      <c r="E106" s="1268"/>
      <c r="F106" s="753">
        <f>SUM(F96:F105)</f>
        <v>0</v>
      </c>
      <c r="G106" s="570">
        <f aca="true" t="shared" si="28" ref="G106:O106">SUM(G96:G105)</f>
        <v>0</v>
      </c>
      <c r="H106" s="754">
        <f t="shared" si="28"/>
        <v>0</v>
      </c>
      <c r="I106" s="486">
        <f t="shared" si="28"/>
        <v>0</v>
      </c>
      <c r="J106" s="486">
        <f t="shared" si="28"/>
        <v>0</v>
      </c>
      <c r="K106" s="472">
        <f t="shared" si="28"/>
        <v>0</v>
      </c>
      <c r="L106" s="570">
        <f t="shared" si="28"/>
        <v>0</v>
      </c>
      <c r="M106" s="754">
        <f t="shared" si="28"/>
        <v>0</v>
      </c>
      <c r="N106" s="486">
        <f t="shared" si="28"/>
        <v>0</v>
      </c>
      <c r="O106" s="472">
        <f t="shared" si="28"/>
        <v>0</v>
      </c>
      <c r="P106" s="753">
        <f>SUM(P96:P105)</f>
        <v>-4461</v>
      </c>
      <c r="Q106" s="795">
        <f aca="true" t="shared" si="29" ref="Q106:Z106">SUM(Q96:Q105)</f>
        <v>10779</v>
      </c>
      <c r="R106" s="796">
        <f t="shared" si="29"/>
        <v>-593</v>
      </c>
      <c r="S106" s="797">
        <f t="shared" si="29"/>
        <v>-527</v>
      </c>
      <c r="T106" s="797">
        <f t="shared" si="29"/>
        <v>11899</v>
      </c>
      <c r="U106" s="797">
        <f t="shared" si="29"/>
        <v>0</v>
      </c>
      <c r="V106" s="570">
        <f t="shared" si="29"/>
        <v>0</v>
      </c>
      <c r="W106" s="798">
        <f t="shared" si="29"/>
        <v>-15240</v>
      </c>
      <c r="X106" s="796">
        <f t="shared" si="29"/>
        <v>-15240</v>
      </c>
      <c r="Y106" s="797">
        <f t="shared" si="29"/>
        <v>0</v>
      </c>
      <c r="Z106" s="570">
        <f t="shared" si="29"/>
        <v>0</v>
      </c>
    </row>
    <row r="107" spans="1:26" s="748" customFormat="1" ht="12">
      <c r="A107" s="839">
        <f>+A105+1</f>
        <v>68</v>
      </c>
      <c r="B107" s="478" t="str">
        <f>+HLOOKUP($A107,'[4]EI2014'!$G$1:$BY$6,4,FALSE)</f>
        <v>061030</v>
      </c>
      <c r="C107" s="812" t="str">
        <f>+HLOOKUP($A107,'[4]EI2014'!$G$1:$BY$6,2,FALSE)</f>
        <v>Lakáshoz jutást segítő támogatások</v>
      </c>
      <c r="D107" s="735" t="str">
        <f>+HLOOKUP($A107,'[4]EI2014'!$G$1:$BY$6,6,FALSE)</f>
        <v>889943-1</v>
      </c>
      <c r="E107" s="741" t="str">
        <f>+HLOOKUP($A107,'[4]EI2014'!$G$1:$BY$6,5,FALSE)</f>
        <v>Munkáltatók által nyújtott lakástámogatás </v>
      </c>
      <c r="F107" s="736">
        <f>+G107+L107</f>
        <v>0</v>
      </c>
      <c r="G107" s="737">
        <f>+H107+I107+J107+K107</f>
        <v>0</v>
      </c>
      <c r="H107" s="726"/>
      <c r="I107" s="724"/>
      <c r="J107" s="724"/>
      <c r="K107" s="725"/>
      <c r="L107" s="737">
        <f>+M107+N107+O107</f>
        <v>0</v>
      </c>
      <c r="M107" s="726"/>
      <c r="N107" s="724"/>
      <c r="O107" s="725"/>
      <c r="P107" s="736">
        <f>+Q107+W107</f>
        <v>0</v>
      </c>
      <c r="Q107" s="737">
        <f>+R107+S107+T107+V107</f>
        <v>0</v>
      </c>
      <c r="R107" s="705"/>
      <c r="S107" s="706"/>
      <c r="T107" s="706"/>
      <c r="U107" s="706"/>
      <c r="V107" s="707"/>
      <c r="W107" s="737">
        <f>+X107+Y107+Z107</f>
        <v>0</v>
      </c>
      <c r="X107" s="705"/>
      <c r="Y107" s="706"/>
      <c r="Z107" s="707"/>
    </row>
    <row r="108" spans="1:26" s="748" customFormat="1" ht="12.75" thickBot="1">
      <c r="A108" s="839">
        <f>+A107+1</f>
        <v>69</v>
      </c>
      <c r="B108" s="478" t="str">
        <f>+HLOOKUP($A108,'[4]EI2014'!$G$1:$BY$6,4,FALSE)</f>
        <v>-</v>
      </c>
      <c r="C108" s="812" t="str">
        <f>+HLOOKUP($A108,'[4]EI2014'!$G$1:$BY$6,2,FALSE)</f>
        <v>Önmagában nem közfeladat, alaptevékenység szerinti funkcióhoz</v>
      </c>
      <c r="D108" s="735" t="str">
        <f>+HLOOKUP($A108,'[4]EI2014'!$G$1:$BY$6,6,FALSE)</f>
        <v>562917-1</v>
      </c>
      <c r="E108" s="741" t="str">
        <f>+HLOOKUP($A108,'[4]EI2014'!$G$1:$BY$6,5,FALSE)</f>
        <v>Munkahelyi étkeztetés</v>
      </c>
      <c r="F108" s="736">
        <f>+G108+L108</f>
        <v>0</v>
      </c>
      <c r="G108" s="737">
        <f>+H108+I108+J108+K108</f>
        <v>0</v>
      </c>
      <c r="H108" s="726"/>
      <c r="I108" s="724"/>
      <c r="J108" s="724"/>
      <c r="K108" s="725"/>
      <c r="L108" s="737">
        <f>+M108+N108+O108</f>
        <v>0</v>
      </c>
      <c r="M108" s="726"/>
      <c r="N108" s="724"/>
      <c r="O108" s="725"/>
      <c r="P108" s="736">
        <f>+Q108+W108</f>
        <v>0</v>
      </c>
      <c r="Q108" s="737">
        <f>+R108+S108+T108+V108</f>
        <v>0</v>
      </c>
      <c r="R108" s="726"/>
      <c r="S108" s="724"/>
      <c r="T108" s="724"/>
      <c r="U108" s="724"/>
      <c r="V108" s="725"/>
      <c r="W108" s="737">
        <f>+X108+Y108+Z108</f>
        <v>0</v>
      </c>
      <c r="X108" s="726"/>
      <c r="Y108" s="724"/>
      <c r="Z108" s="725"/>
    </row>
    <row r="109" spans="1:26" s="716" customFormat="1" ht="12.75" thickBot="1">
      <c r="A109" s="829" t="s">
        <v>837</v>
      </c>
      <c r="B109" s="1266" t="s">
        <v>503</v>
      </c>
      <c r="C109" s="1267"/>
      <c r="D109" s="1267"/>
      <c r="E109" s="1268"/>
      <c r="F109" s="753">
        <f>SUM(F107:F108)</f>
        <v>0</v>
      </c>
      <c r="G109" s="570">
        <f aca="true" t="shared" si="30" ref="G109:O109">SUM(G107:G108)</f>
        <v>0</v>
      </c>
      <c r="H109" s="754">
        <f t="shared" si="30"/>
        <v>0</v>
      </c>
      <c r="I109" s="486">
        <f t="shared" si="30"/>
        <v>0</v>
      </c>
      <c r="J109" s="486">
        <f t="shared" si="30"/>
        <v>0</v>
      </c>
      <c r="K109" s="472">
        <f t="shared" si="30"/>
        <v>0</v>
      </c>
      <c r="L109" s="570">
        <f t="shared" si="30"/>
        <v>0</v>
      </c>
      <c r="M109" s="754">
        <f t="shared" si="30"/>
        <v>0</v>
      </c>
      <c r="N109" s="486">
        <f t="shared" si="30"/>
        <v>0</v>
      </c>
      <c r="O109" s="472">
        <f t="shared" si="30"/>
        <v>0</v>
      </c>
      <c r="P109" s="753">
        <f>SUM(P107:P108)</f>
        <v>0</v>
      </c>
      <c r="Q109" s="795">
        <f aca="true" t="shared" si="31" ref="Q109:Z109">SUM(Q107:Q108)</f>
        <v>0</v>
      </c>
      <c r="R109" s="796">
        <f t="shared" si="31"/>
        <v>0</v>
      </c>
      <c r="S109" s="797">
        <f t="shared" si="31"/>
        <v>0</v>
      </c>
      <c r="T109" s="797">
        <f t="shared" si="31"/>
        <v>0</v>
      </c>
      <c r="U109" s="797">
        <f t="shared" si="31"/>
        <v>0</v>
      </c>
      <c r="V109" s="570">
        <f t="shared" si="31"/>
        <v>0</v>
      </c>
      <c r="W109" s="798">
        <f t="shared" si="31"/>
        <v>0</v>
      </c>
      <c r="X109" s="796">
        <f t="shared" si="31"/>
        <v>0</v>
      </c>
      <c r="Y109" s="797">
        <f t="shared" si="31"/>
        <v>0</v>
      </c>
      <c r="Z109" s="570">
        <f t="shared" si="31"/>
        <v>0</v>
      </c>
    </row>
    <row r="110" spans="1:26" ht="12.75" thickBot="1">
      <c r="A110" s="840">
        <f>+A108+1</f>
        <v>70</v>
      </c>
      <c r="B110" s="585" t="str">
        <f>+HLOOKUP($A110,'[4]EI2014'!$G$1:$BY$6,4,FALSE)</f>
        <v>-</v>
      </c>
      <c r="C110" s="811" t="str">
        <f>+HLOOKUP($A110,'[4]EI2014'!$G$1:$BY$6,2,FALSE)</f>
        <v>-</v>
      </c>
      <c r="D110" s="723" t="str">
        <f>+HLOOKUP($A110,'[4]EI2014'!$G$1:$BY$6,6,FALSE)</f>
        <v>-</v>
      </c>
      <c r="E110" s="755" t="str">
        <f>+HLOOKUP($A110,'[4]EI2014'!$G$1:$BY$6,5,FALSE)</f>
        <v>Hevesi Polgármesteri Hivatal állami (államigazgatási) feladatai</v>
      </c>
      <c r="F110" s="710">
        <f>+G110+L110</f>
        <v>0</v>
      </c>
      <c r="G110" s="711">
        <f>+H110+I110+J110+K110</f>
        <v>0</v>
      </c>
      <c r="H110" s="705"/>
      <c r="I110" s="706"/>
      <c r="J110" s="706"/>
      <c r="K110" s="707"/>
      <c r="L110" s="711">
        <f>+M110+N110+O110</f>
        <v>0</v>
      </c>
      <c r="M110" s="705"/>
      <c r="N110" s="706"/>
      <c r="O110" s="707"/>
      <c r="P110" s="744">
        <f>+Q110+W110</f>
        <v>0</v>
      </c>
      <c r="Q110" s="745">
        <f>+R110+S110+T110+U110+V110</f>
        <v>0</v>
      </c>
      <c r="R110" s="739"/>
      <c r="S110" s="738"/>
      <c r="T110" s="738"/>
      <c r="U110" s="738"/>
      <c r="V110" s="602"/>
      <c r="W110" s="745">
        <f>+X110+Y110+Z110</f>
        <v>0</v>
      </c>
      <c r="X110" s="739"/>
      <c r="Y110" s="738"/>
      <c r="Z110" s="602"/>
    </row>
    <row r="111" spans="1:26" s="716" customFormat="1" ht="12.75" thickBot="1">
      <c r="A111" s="829" t="s">
        <v>1043</v>
      </c>
      <c r="B111" s="1266" t="s">
        <v>504</v>
      </c>
      <c r="C111" s="1267"/>
      <c r="D111" s="1267"/>
      <c r="E111" s="1268"/>
      <c r="F111" s="753">
        <f aca="true" t="shared" si="32" ref="F111:O111">SUM(F110:F110)</f>
        <v>0</v>
      </c>
      <c r="G111" s="570">
        <f t="shared" si="32"/>
        <v>0</v>
      </c>
      <c r="H111" s="754">
        <f t="shared" si="32"/>
        <v>0</v>
      </c>
      <c r="I111" s="486">
        <f t="shared" si="32"/>
        <v>0</v>
      </c>
      <c r="J111" s="486">
        <f t="shared" si="32"/>
        <v>0</v>
      </c>
      <c r="K111" s="472">
        <f t="shared" si="32"/>
        <v>0</v>
      </c>
      <c r="L111" s="570">
        <f t="shared" si="32"/>
        <v>0</v>
      </c>
      <c r="M111" s="754">
        <f t="shared" si="32"/>
        <v>0</v>
      </c>
      <c r="N111" s="486">
        <f t="shared" si="32"/>
        <v>0</v>
      </c>
      <c r="O111" s="472">
        <f t="shared" si="32"/>
        <v>0</v>
      </c>
      <c r="P111" s="753">
        <f aca="true" t="shared" si="33" ref="P111:Z111">SUM(P110)</f>
        <v>0</v>
      </c>
      <c r="Q111" s="795">
        <f t="shared" si="33"/>
        <v>0</v>
      </c>
      <c r="R111" s="796">
        <f t="shared" si="33"/>
        <v>0</v>
      </c>
      <c r="S111" s="797">
        <f t="shared" si="33"/>
        <v>0</v>
      </c>
      <c r="T111" s="797">
        <f t="shared" si="33"/>
        <v>0</v>
      </c>
      <c r="U111" s="797">
        <f t="shared" si="33"/>
        <v>0</v>
      </c>
      <c r="V111" s="570">
        <f t="shared" si="33"/>
        <v>0</v>
      </c>
      <c r="W111" s="798">
        <f t="shared" si="33"/>
        <v>0</v>
      </c>
      <c r="X111" s="797">
        <f t="shared" si="33"/>
        <v>0</v>
      </c>
      <c r="Y111" s="797">
        <f t="shared" si="33"/>
        <v>0</v>
      </c>
      <c r="Z111" s="570">
        <f t="shared" si="33"/>
        <v>0</v>
      </c>
    </row>
    <row r="112" spans="1:26" s="716" customFormat="1" ht="12.75" thickBot="1">
      <c r="A112" s="830" t="s">
        <v>41</v>
      </c>
      <c r="B112" s="1269" t="s">
        <v>505</v>
      </c>
      <c r="C112" s="1270"/>
      <c r="D112" s="1270"/>
      <c r="E112" s="1271"/>
      <c r="F112" s="757">
        <f aca="true" t="shared" si="34" ref="F112:Z112">+F106+F109+F111</f>
        <v>0</v>
      </c>
      <c r="G112" s="771">
        <f t="shared" si="34"/>
        <v>0</v>
      </c>
      <c r="H112" s="758">
        <f t="shared" si="34"/>
        <v>0</v>
      </c>
      <c r="I112" s="759">
        <f t="shared" si="34"/>
        <v>0</v>
      </c>
      <c r="J112" s="759">
        <f t="shared" si="34"/>
        <v>0</v>
      </c>
      <c r="K112" s="760">
        <f t="shared" si="34"/>
        <v>0</v>
      </c>
      <c r="L112" s="771">
        <f t="shared" si="34"/>
        <v>0</v>
      </c>
      <c r="M112" s="758">
        <f t="shared" si="34"/>
        <v>0</v>
      </c>
      <c r="N112" s="759">
        <f t="shared" si="34"/>
        <v>0</v>
      </c>
      <c r="O112" s="760">
        <f t="shared" si="34"/>
        <v>0</v>
      </c>
      <c r="P112" s="803">
        <f t="shared" si="34"/>
        <v>-4461</v>
      </c>
      <c r="Q112" s="804">
        <f t="shared" si="34"/>
        <v>10779</v>
      </c>
      <c r="R112" s="800">
        <f t="shared" si="34"/>
        <v>-593</v>
      </c>
      <c r="S112" s="801">
        <f t="shared" si="34"/>
        <v>-527</v>
      </c>
      <c r="T112" s="801">
        <f t="shared" si="34"/>
        <v>11899</v>
      </c>
      <c r="U112" s="801">
        <f t="shared" si="34"/>
        <v>0</v>
      </c>
      <c r="V112" s="802">
        <f t="shared" si="34"/>
        <v>0</v>
      </c>
      <c r="W112" s="804">
        <f t="shared" si="34"/>
        <v>-15240</v>
      </c>
      <c r="X112" s="800">
        <f t="shared" si="34"/>
        <v>-15240</v>
      </c>
      <c r="Y112" s="801">
        <f t="shared" si="34"/>
        <v>0</v>
      </c>
      <c r="Z112" s="802">
        <f t="shared" si="34"/>
        <v>0</v>
      </c>
    </row>
    <row r="113" spans="1:26" s="716" customFormat="1" ht="12.75" thickBot="1">
      <c r="A113" s="829"/>
      <c r="B113" s="473"/>
      <c r="C113" s="817"/>
      <c r="D113" s="752"/>
      <c r="E113" s="751"/>
      <c r="F113" s="753"/>
      <c r="G113" s="570"/>
      <c r="H113" s="754"/>
      <c r="I113" s="486"/>
      <c r="J113" s="486"/>
      <c r="K113" s="472"/>
      <c r="L113" s="570"/>
      <c r="M113" s="754"/>
      <c r="N113" s="486"/>
      <c r="O113" s="472"/>
      <c r="P113" s="753"/>
      <c r="Q113" s="570"/>
      <c r="R113" s="754"/>
      <c r="S113" s="486"/>
      <c r="T113" s="486"/>
      <c r="U113" s="486"/>
      <c r="V113" s="472"/>
      <c r="W113" s="570"/>
      <c r="X113" s="754"/>
      <c r="Y113" s="486"/>
      <c r="Z113" s="472"/>
    </row>
    <row r="114" spans="1:26" s="716" customFormat="1" ht="12">
      <c r="A114" s="831" t="s">
        <v>1044</v>
      </c>
      <c r="B114" s="1263" t="s">
        <v>489</v>
      </c>
      <c r="C114" s="1264"/>
      <c r="D114" s="1264"/>
      <c r="E114" s="1265"/>
      <c r="F114" s="708">
        <f>+G114+L114</f>
        <v>0</v>
      </c>
      <c r="G114" s="709">
        <f>+H114+I114+J114+K114</f>
        <v>0</v>
      </c>
      <c r="H114" s="772"/>
      <c r="I114" s="773"/>
      <c r="J114" s="773"/>
      <c r="K114" s="774"/>
      <c r="L114" s="708">
        <f>+M114+N114+O114</f>
        <v>0</v>
      </c>
      <c r="M114" s="772"/>
      <c r="N114" s="773"/>
      <c r="O114" s="774"/>
      <c r="P114" s="708">
        <f>+Q114+W114</f>
        <v>0</v>
      </c>
      <c r="Q114" s="709">
        <f>+R114+S114+T114+U114+V114</f>
        <v>0</v>
      </c>
      <c r="R114" s="772"/>
      <c r="S114" s="773"/>
      <c r="T114" s="773"/>
      <c r="U114" s="773"/>
      <c r="V114" s="774"/>
      <c r="W114" s="709">
        <f>+X114+Y114+Z114</f>
        <v>0</v>
      </c>
      <c r="X114" s="772"/>
      <c r="Y114" s="773"/>
      <c r="Z114" s="774"/>
    </row>
    <row r="115" spans="1:26" s="1201" customFormat="1" ht="12" customHeight="1">
      <c r="A115" s="1251" t="s">
        <v>1347</v>
      </c>
      <c r="B115" s="1252"/>
      <c r="C115" s="1252"/>
      <c r="D115" s="1252"/>
      <c r="E115" s="1253"/>
      <c r="F115" s="1193">
        <f>+G115+L115</f>
        <v>0</v>
      </c>
      <c r="G115" s="1194">
        <f>+H115+I115+J115+K115</f>
        <v>0</v>
      </c>
      <c r="H115" s="1195"/>
      <c r="I115" s="1196"/>
      <c r="J115" s="1196"/>
      <c r="K115" s="1197"/>
      <c r="L115" s="1194">
        <f>+M115+N115+O115</f>
        <v>0</v>
      </c>
      <c r="M115" s="1195"/>
      <c r="N115" s="1196"/>
      <c r="O115" s="1197"/>
      <c r="P115" s="1193">
        <f>+Q115+W115</f>
        <v>-1423</v>
      </c>
      <c r="Q115" s="1194">
        <f>+R115+S115+T115+U115+V115</f>
        <v>-1423</v>
      </c>
      <c r="R115" s="1195">
        <v>-450</v>
      </c>
      <c r="S115" s="1198">
        <v>-122</v>
      </c>
      <c r="T115" s="1198">
        <v>-851</v>
      </c>
      <c r="U115" s="1198"/>
      <c r="V115" s="1199"/>
      <c r="W115" s="1194">
        <f>+X115+Y115+Z115</f>
        <v>0</v>
      </c>
      <c r="X115" s="1200"/>
      <c r="Y115" s="1198"/>
      <c r="Z115" s="1199"/>
    </row>
    <row r="116" spans="1:26" s="716" customFormat="1" ht="12">
      <c r="A116" s="833" t="s">
        <v>1045</v>
      </c>
      <c r="B116" s="1254" t="s">
        <v>490</v>
      </c>
      <c r="C116" s="1255"/>
      <c r="D116" s="1255"/>
      <c r="E116" s="1256"/>
      <c r="F116" s="710">
        <f>+G116+L116</f>
        <v>0</v>
      </c>
      <c r="G116" s="710">
        <f>+H116+I116+J116+K116</f>
        <v>0</v>
      </c>
      <c r="H116" s="834"/>
      <c r="I116" s="835"/>
      <c r="J116" s="835"/>
      <c r="K116" s="836"/>
      <c r="L116" s="736">
        <f>+M116+N116+O116</f>
        <v>0</v>
      </c>
      <c r="M116" s="834"/>
      <c r="N116" s="835"/>
      <c r="O116" s="836"/>
      <c r="P116" s="710">
        <f>+Q116+W116</f>
        <v>0</v>
      </c>
      <c r="Q116" s="710">
        <f>+R116+S116+T116+U116+V116</f>
        <v>0</v>
      </c>
      <c r="R116" s="834"/>
      <c r="S116" s="835"/>
      <c r="T116" s="835"/>
      <c r="U116" s="835"/>
      <c r="V116" s="836"/>
      <c r="W116" s="737">
        <f>+X116+Y116+Z116</f>
        <v>0</v>
      </c>
      <c r="X116" s="834"/>
      <c r="Y116" s="835"/>
      <c r="Z116" s="836"/>
    </row>
    <row r="117" spans="1:26" s="716" customFormat="1" ht="12.75" thickBot="1">
      <c r="A117" s="832" t="s">
        <v>1046</v>
      </c>
      <c r="B117" s="1257" t="s">
        <v>1071</v>
      </c>
      <c r="C117" s="1258"/>
      <c r="D117" s="1258"/>
      <c r="E117" s="1259"/>
      <c r="F117" s="710">
        <f>+G117+L117</f>
        <v>0</v>
      </c>
      <c r="G117" s="711">
        <f>+H117+I117+J117+K117</f>
        <v>0</v>
      </c>
      <c r="H117" s="779"/>
      <c r="I117" s="780"/>
      <c r="J117" s="780"/>
      <c r="K117" s="781"/>
      <c r="L117" s="711">
        <f>+M117+N117+O117</f>
        <v>0</v>
      </c>
      <c r="M117" s="779"/>
      <c r="N117" s="780"/>
      <c r="O117" s="781"/>
      <c r="P117" s="777">
        <f>+Q117+W117</f>
        <v>0</v>
      </c>
      <c r="Q117" s="778">
        <f>+R117+S117+T117+U117+V117</f>
        <v>0</v>
      </c>
      <c r="R117" s="851"/>
      <c r="S117" s="805"/>
      <c r="T117" s="805"/>
      <c r="U117" s="805"/>
      <c r="V117" s="849"/>
      <c r="W117" s="711">
        <f>+X117+Y117+Z117</f>
        <v>0</v>
      </c>
      <c r="X117" s="851"/>
      <c r="Y117" s="805"/>
      <c r="Z117" s="849"/>
    </row>
    <row r="118" spans="1:26" s="716" customFormat="1" ht="12.75" thickBot="1">
      <c r="A118" s="830" t="s">
        <v>40</v>
      </c>
      <c r="B118" s="1260" t="s">
        <v>1048</v>
      </c>
      <c r="C118" s="1261"/>
      <c r="D118" s="1261"/>
      <c r="E118" s="1262"/>
      <c r="F118" s="757">
        <f>SUM(F114:F117)</f>
        <v>0</v>
      </c>
      <c r="G118" s="760">
        <f aca="true" t="shared" si="35" ref="G118:O118">SUM(G114:G117)</f>
        <v>0</v>
      </c>
      <c r="H118" s="783">
        <f t="shared" si="35"/>
        <v>0</v>
      </c>
      <c r="I118" s="784">
        <f t="shared" si="35"/>
        <v>0</v>
      </c>
      <c r="J118" s="784">
        <f t="shared" si="35"/>
        <v>0</v>
      </c>
      <c r="K118" s="785">
        <f t="shared" si="35"/>
        <v>0</v>
      </c>
      <c r="L118" s="760">
        <f t="shared" si="35"/>
        <v>0</v>
      </c>
      <c r="M118" s="783">
        <f t="shared" si="35"/>
        <v>0</v>
      </c>
      <c r="N118" s="784">
        <f t="shared" si="35"/>
        <v>0</v>
      </c>
      <c r="O118" s="785">
        <f t="shared" si="35"/>
        <v>0</v>
      </c>
      <c r="P118" s="757">
        <f>SUM(P114:P117)</f>
        <v>-1423</v>
      </c>
      <c r="Q118" s="807">
        <f aca="true" t="shared" si="36" ref="Q118:Z118">SUM(Q114:Q117)</f>
        <v>-1423</v>
      </c>
      <c r="R118" s="758">
        <f t="shared" si="36"/>
        <v>-450</v>
      </c>
      <c r="S118" s="759">
        <f t="shared" si="36"/>
        <v>-122</v>
      </c>
      <c r="T118" s="759">
        <f t="shared" si="36"/>
        <v>-851</v>
      </c>
      <c r="U118" s="759">
        <f t="shared" si="36"/>
        <v>0</v>
      </c>
      <c r="V118" s="760">
        <f t="shared" si="36"/>
        <v>0</v>
      </c>
      <c r="W118" s="808">
        <f t="shared" si="36"/>
        <v>0</v>
      </c>
      <c r="X118" s="758">
        <f t="shared" si="36"/>
        <v>0</v>
      </c>
      <c r="Y118" s="759">
        <f t="shared" si="36"/>
        <v>0</v>
      </c>
      <c r="Z118" s="760">
        <f t="shared" si="36"/>
        <v>0</v>
      </c>
    </row>
    <row r="119" spans="1:26" s="716" customFormat="1" ht="12.75" thickBot="1">
      <c r="A119" s="829"/>
      <c r="B119" s="473"/>
      <c r="C119" s="817"/>
      <c r="D119" s="752"/>
      <c r="E119" s="751"/>
      <c r="F119" s="753"/>
      <c r="G119" s="570"/>
      <c r="H119" s="754"/>
      <c r="I119" s="486"/>
      <c r="J119" s="486"/>
      <c r="K119" s="472"/>
      <c r="L119" s="570"/>
      <c r="M119" s="754"/>
      <c r="N119" s="486"/>
      <c r="O119" s="472"/>
      <c r="P119" s="753"/>
      <c r="Q119" s="570"/>
      <c r="R119" s="779"/>
      <c r="S119" s="780"/>
      <c r="T119" s="780"/>
      <c r="U119" s="780"/>
      <c r="V119" s="781"/>
      <c r="W119" s="570"/>
      <c r="X119" s="779"/>
      <c r="Y119" s="780"/>
      <c r="Z119" s="781"/>
    </row>
    <row r="120" spans="1:26" s="716" customFormat="1" ht="12">
      <c r="A120" s="831" t="s">
        <v>1047</v>
      </c>
      <c r="B120" s="1263" t="s">
        <v>492</v>
      </c>
      <c r="C120" s="1264"/>
      <c r="D120" s="1264"/>
      <c r="E120" s="1265"/>
      <c r="F120" s="708">
        <f>+G120+L120</f>
        <v>0</v>
      </c>
      <c r="G120" s="709">
        <f>+H120+I120+J120+K120</f>
        <v>0</v>
      </c>
      <c r="H120" s="772"/>
      <c r="I120" s="773"/>
      <c r="J120" s="773"/>
      <c r="K120" s="774"/>
      <c r="L120" s="708">
        <f>+M120+N120+O120</f>
        <v>0</v>
      </c>
      <c r="M120" s="772"/>
      <c r="N120" s="773"/>
      <c r="O120" s="774"/>
      <c r="P120" s="708">
        <f>+Q120+W120</f>
        <v>0</v>
      </c>
      <c r="Q120" s="708">
        <f>+R120+S120+T120+U120+V120</f>
        <v>0</v>
      </c>
      <c r="R120" s="772"/>
      <c r="S120" s="773"/>
      <c r="T120" s="773"/>
      <c r="U120" s="773"/>
      <c r="V120" s="774"/>
      <c r="W120" s="709">
        <f>+X120+Y120+Z120</f>
        <v>0</v>
      </c>
      <c r="X120" s="772"/>
      <c r="Y120" s="773"/>
      <c r="Z120" s="774"/>
    </row>
    <row r="121" spans="1:26" s="1201" customFormat="1" ht="12" customHeight="1">
      <c r="A121" s="1251" t="s">
        <v>1330</v>
      </c>
      <c r="B121" s="1252"/>
      <c r="C121" s="1252"/>
      <c r="D121" s="1252"/>
      <c r="E121" s="1253"/>
      <c r="F121" s="1193">
        <f>+G121+L121</f>
        <v>0</v>
      </c>
      <c r="G121" s="1194">
        <f>+H121+I121+J121+K121</f>
        <v>0</v>
      </c>
      <c r="H121" s="1195"/>
      <c r="I121" s="1196"/>
      <c r="J121" s="1196"/>
      <c r="K121" s="1197"/>
      <c r="L121" s="1194">
        <f>+M121+N121+O121</f>
        <v>0</v>
      </c>
      <c r="M121" s="1195"/>
      <c r="N121" s="1196"/>
      <c r="O121" s="1197"/>
      <c r="P121" s="1193">
        <f>+Q121+W121</f>
        <v>-20674</v>
      </c>
      <c r="Q121" s="1194">
        <f>+R121+S121+T121+U121+V121</f>
        <v>-20674</v>
      </c>
      <c r="R121" s="1195">
        <v>-1319</v>
      </c>
      <c r="S121" s="1198">
        <v>-356</v>
      </c>
      <c r="T121" s="1198">
        <v>-18999</v>
      </c>
      <c r="U121" s="1198"/>
      <c r="V121" s="1199"/>
      <c r="W121" s="1194">
        <f>+X121+Y121+Z121</f>
        <v>0</v>
      </c>
      <c r="X121" s="1200"/>
      <c r="Y121" s="1198"/>
      <c r="Z121" s="1199"/>
    </row>
    <row r="122" spans="1:26" s="1201" customFormat="1" ht="12" customHeight="1">
      <c r="A122" s="1251" t="s">
        <v>1348</v>
      </c>
      <c r="B122" s="1252"/>
      <c r="C122" s="1252"/>
      <c r="D122" s="1252"/>
      <c r="E122" s="1253"/>
      <c r="F122" s="1193">
        <f>+G122+L122</f>
        <v>0</v>
      </c>
      <c r="G122" s="1194">
        <f>+H122+I122+J122+K122</f>
        <v>0</v>
      </c>
      <c r="H122" s="1195"/>
      <c r="I122" s="1196"/>
      <c r="J122" s="1196"/>
      <c r="K122" s="1197"/>
      <c r="L122" s="1194">
        <f>+M122+N122+O122</f>
        <v>0</v>
      </c>
      <c r="M122" s="1195"/>
      <c r="N122" s="1196"/>
      <c r="O122" s="1197"/>
      <c r="P122" s="1193">
        <f>+Q122+W122</f>
        <v>-635</v>
      </c>
      <c r="Q122" s="1194">
        <f>+R122+S122+T122+U122+V122</f>
        <v>-635</v>
      </c>
      <c r="R122" s="1195">
        <v>-500</v>
      </c>
      <c r="S122" s="1198">
        <v>-135</v>
      </c>
      <c r="T122" s="1198"/>
      <c r="U122" s="1198"/>
      <c r="V122" s="1199"/>
      <c r="W122" s="1194">
        <f>+X122+Y122+Z122</f>
        <v>0</v>
      </c>
      <c r="X122" s="1200"/>
      <c r="Y122" s="1198"/>
      <c r="Z122" s="1199"/>
    </row>
    <row r="123" spans="1:26" s="716" customFormat="1" ht="12">
      <c r="A123" s="833" t="s">
        <v>838</v>
      </c>
      <c r="B123" s="1254" t="s">
        <v>1050</v>
      </c>
      <c r="C123" s="1255"/>
      <c r="D123" s="1255"/>
      <c r="E123" s="1256"/>
      <c r="F123" s="736">
        <f>+G123+L123</f>
        <v>0</v>
      </c>
      <c r="G123" s="737">
        <f>+H123+I123+J123+K123</f>
        <v>0</v>
      </c>
      <c r="H123" s="834"/>
      <c r="I123" s="835"/>
      <c r="J123" s="835"/>
      <c r="K123" s="836"/>
      <c r="L123" s="736">
        <f>+M123+N123+O123</f>
        <v>0</v>
      </c>
      <c r="M123" s="834"/>
      <c r="N123" s="835"/>
      <c r="O123" s="836"/>
      <c r="P123" s="736">
        <f>+Q123+W123</f>
        <v>0</v>
      </c>
      <c r="Q123" s="736">
        <f>+R123+S123+T123+U123+V123</f>
        <v>0</v>
      </c>
      <c r="R123" s="834"/>
      <c r="S123" s="835"/>
      <c r="T123" s="835"/>
      <c r="U123" s="835"/>
      <c r="V123" s="836"/>
      <c r="W123" s="737">
        <f>+X123+Y123+Z123</f>
        <v>0</v>
      </c>
      <c r="X123" s="834"/>
      <c r="Y123" s="835"/>
      <c r="Z123" s="836"/>
    </row>
    <row r="124" spans="1:26" s="716" customFormat="1" ht="12.75" thickBot="1">
      <c r="A124" s="832" t="s">
        <v>1049</v>
      </c>
      <c r="B124" s="1257" t="s">
        <v>1072</v>
      </c>
      <c r="C124" s="1258"/>
      <c r="D124" s="1258"/>
      <c r="E124" s="1259"/>
      <c r="F124" s="710">
        <f>+G124+L124</f>
        <v>0</v>
      </c>
      <c r="G124" s="711">
        <f>+H124+I124+J124+K124</f>
        <v>0</v>
      </c>
      <c r="H124" s="779"/>
      <c r="I124" s="780"/>
      <c r="J124" s="780"/>
      <c r="K124" s="781"/>
      <c r="L124" s="711">
        <f>+M124+N124+O124</f>
        <v>0</v>
      </c>
      <c r="M124" s="779"/>
      <c r="N124" s="780"/>
      <c r="O124" s="781"/>
      <c r="P124" s="710">
        <f>+Q124+W124</f>
        <v>0</v>
      </c>
      <c r="Q124" s="710">
        <f>+R124+S124+T124+U124+V124</f>
        <v>0</v>
      </c>
      <c r="R124" s="851"/>
      <c r="S124" s="805"/>
      <c r="T124" s="805"/>
      <c r="U124" s="805"/>
      <c r="V124" s="849"/>
      <c r="W124" s="711">
        <f>+X124+Y124+Z124</f>
        <v>0</v>
      </c>
      <c r="X124" s="851"/>
      <c r="Y124" s="805"/>
      <c r="Z124" s="849"/>
    </row>
    <row r="125" spans="1:26" s="716" customFormat="1" ht="12.75" thickBot="1">
      <c r="A125" s="830" t="s">
        <v>39</v>
      </c>
      <c r="B125" s="1260" t="s">
        <v>1051</v>
      </c>
      <c r="C125" s="1261"/>
      <c r="D125" s="1261"/>
      <c r="E125" s="1262"/>
      <c r="F125" s="757">
        <f>SUM(F120:F124)</f>
        <v>0</v>
      </c>
      <c r="G125" s="760">
        <f aca="true" t="shared" si="37" ref="G125:O125">SUM(G120:G124)</f>
        <v>0</v>
      </c>
      <c r="H125" s="783">
        <f t="shared" si="37"/>
        <v>0</v>
      </c>
      <c r="I125" s="784">
        <f t="shared" si="37"/>
        <v>0</v>
      </c>
      <c r="J125" s="784">
        <f t="shared" si="37"/>
        <v>0</v>
      </c>
      <c r="K125" s="785">
        <f t="shared" si="37"/>
        <v>0</v>
      </c>
      <c r="L125" s="760">
        <f t="shared" si="37"/>
        <v>0</v>
      </c>
      <c r="M125" s="783">
        <f t="shared" si="37"/>
        <v>0</v>
      </c>
      <c r="N125" s="784">
        <f t="shared" si="37"/>
        <v>0</v>
      </c>
      <c r="O125" s="785">
        <f t="shared" si="37"/>
        <v>0</v>
      </c>
      <c r="P125" s="757">
        <f>SUM(P120:P124)</f>
        <v>-21309</v>
      </c>
      <c r="Q125" s="807">
        <f aca="true" t="shared" si="38" ref="Q125:Z125">SUM(Q120:Q124)</f>
        <v>-21309</v>
      </c>
      <c r="R125" s="758">
        <f t="shared" si="38"/>
        <v>-1819</v>
      </c>
      <c r="S125" s="759">
        <f t="shared" si="38"/>
        <v>-491</v>
      </c>
      <c r="T125" s="759">
        <f t="shared" si="38"/>
        <v>-18999</v>
      </c>
      <c r="U125" s="759">
        <f t="shared" si="38"/>
        <v>0</v>
      </c>
      <c r="V125" s="760">
        <f t="shared" si="38"/>
        <v>0</v>
      </c>
      <c r="W125" s="808">
        <f t="shared" si="38"/>
        <v>0</v>
      </c>
      <c r="X125" s="758">
        <f t="shared" si="38"/>
        <v>0</v>
      </c>
      <c r="Y125" s="759">
        <f t="shared" si="38"/>
        <v>0</v>
      </c>
      <c r="Z125" s="760">
        <f t="shared" si="38"/>
        <v>0</v>
      </c>
    </row>
    <row r="126" spans="1:26" ht="12.75" thickBot="1">
      <c r="A126" s="843"/>
      <c r="B126" s="600"/>
      <c r="C126" s="813"/>
      <c r="D126" s="787"/>
      <c r="E126" s="786"/>
      <c r="F126" s="788"/>
      <c r="G126" s="578"/>
      <c r="H126" s="739"/>
      <c r="I126" s="738"/>
      <c r="J126" s="738"/>
      <c r="K126" s="602"/>
      <c r="L126" s="578"/>
      <c r="M126" s="739"/>
      <c r="N126" s="738"/>
      <c r="O126" s="602"/>
      <c r="P126" s="788"/>
      <c r="Q126" s="578"/>
      <c r="R126" s="739"/>
      <c r="S126" s="738"/>
      <c r="T126" s="738"/>
      <c r="U126" s="738"/>
      <c r="V126" s="602"/>
      <c r="W126" s="578"/>
      <c r="X126" s="739"/>
      <c r="Y126" s="738"/>
      <c r="Z126" s="602"/>
    </row>
    <row r="127" spans="1:26" ht="12.75" thickBot="1">
      <c r="A127" s="830" t="s">
        <v>693</v>
      </c>
      <c r="B127" s="1260" t="s">
        <v>1349</v>
      </c>
      <c r="C127" s="1261"/>
      <c r="D127" s="1261"/>
      <c r="E127" s="1262"/>
      <c r="F127" s="789">
        <f aca="true" t="shared" si="39" ref="F127:O127">+F94+F112+F118+F125</f>
        <v>-32271</v>
      </c>
      <c r="G127" s="790">
        <f t="shared" si="39"/>
        <v>-32866</v>
      </c>
      <c r="H127" s="791">
        <f t="shared" si="39"/>
        <v>-33046</v>
      </c>
      <c r="I127" s="792">
        <f t="shared" si="39"/>
        <v>180</v>
      </c>
      <c r="J127" s="792">
        <f t="shared" si="39"/>
        <v>0</v>
      </c>
      <c r="K127" s="790">
        <f t="shared" si="39"/>
        <v>0</v>
      </c>
      <c r="L127" s="790">
        <f t="shared" si="39"/>
        <v>595</v>
      </c>
      <c r="M127" s="791">
        <f t="shared" si="39"/>
        <v>-105</v>
      </c>
      <c r="N127" s="792">
        <f t="shared" si="39"/>
        <v>0</v>
      </c>
      <c r="O127" s="790">
        <f t="shared" si="39"/>
        <v>700</v>
      </c>
      <c r="P127" s="789">
        <f>+P94+P112+P118+P125</f>
        <v>-53871</v>
      </c>
      <c r="Q127" s="790">
        <f aca="true" t="shared" si="40" ref="Q127:Z127">+Q94+Q112+Q118+Q125</f>
        <v>-38631</v>
      </c>
      <c r="R127" s="791">
        <f t="shared" si="40"/>
        <v>-1363</v>
      </c>
      <c r="S127" s="792">
        <f t="shared" si="40"/>
        <v>-784</v>
      </c>
      <c r="T127" s="792">
        <f t="shared" si="40"/>
        <v>-20238</v>
      </c>
      <c r="U127" s="792">
        <f t="shared" si="40"/>
        <v>-37063</v>
      </c>
      <c r="V127" s="790">
        <f t="shared" si="40"/>
        <v>20817</v>
      </c>
      <c r="W127" s="790">
        <f t="shared" si="40"/>
        <v>-15240</v>
      </c>
      <c r="X127" s="791">
        <f t="shared" si="40"/>
        <v>-15240</v>
      </c>
      <c r="Y127" s="792">
        <f t="shared" si="40"/>
        <v>0</v>
      </c>
      <c r="Z127" s="790">
        <f t="shared" si="40"/>
        <v>0</v>
      </c>
    </row>
    <row r="128" ht="12.75" thickBot="1">
      <c r="P128" s="718"/>
    </row>
    <row r="129" spans="5:12" ht="13.5" thickBot="1">
      <c r="E129" s="1202" t="s">
        <v>1350</v>
      </c>
      <c r="F129" s="1203" t="s">
        <v>1351</v>
      </c>
      <c r="G129" s="1204" t="s">
        <v>1352</v>
      </c>
      <c r="H129" s="1205" t="s">
        <v>1353</v>
      </c>
      <c r="K129" s="716"/>
      <c r="L129" s="393"/>
    </row>
    <row r="130" spans="5:12" ht="14.25" thickBot="1">
      <c r="E130" s="1206" t="s">
        <v>1354</v>
      </c>
      <c r="F130" s="1207">
        <f>+F131+F132+F133</f>
        <v>135639</v>
      </c>
      <c r="G130" s="1208">
        <f>+G131+G132+G133</f>
        <v>-21600</v>
      </c>
      <c r="H130" s="1209">
        <f>+H131+H132+H133</f>
        <v>114039</v>
      </c>
      <c r="K130" s="716"/>
      <c r="L130" s="393"/>
    </row>
    <row r="131" spans="1:12" s="482" customFormat="1" ht="12">
      <c r="A131" s="1210"/>
      <c r="B131" s="1211"/>
      <c r="C131" s="1212"/>
      <c r="E131" s="1213" t="s">
        <v>1355</v>
      </c>
      <c r="F131" s="1214">
        <v>50000</v>
      </c>
      <c r="G131" s="1215">
        <v>0</v>
      </c>
      <c r="H131" s="1216">
        <f>+F131+G131</f>
        <v>50000</v>
      </c>
      <c r="L131" s="1217"/>
    </row>
    <row r="132" spans="1:12" s="482" customFormat="1" ht="12">
      <c r="A132" s="1210"/>
      <c r="B132" s="1211"/>
      <c r="C132" s="1212"/>
      <c r="E132" s="1218" t="s">
        <v>1356</v>
      </c>
      <c r="F132" s="1219">
        <v>64039</v>
      </c>
      <c r="G132" s="1220">
        <v>0</v>
      </c>
      <c r="H132" s="1221">
        <f>+F132+G132</f>
        <v>64039</v>
      </c>
      <c r="L132" s="1217"/>
    </row>
    <row r="133" spans="1:12" s="482" customFormat="1" ht="12.75" thickBot="1">
      <c r="A133" s="1210"/>
      <c r="B133" s="1211"/>
      <c r="C133" s="1212"/>
      <c r="E133" s="1222" t="s">
        <v>1357</v>
      </c>
      <c r="F133" s="1223">
        <v>21600</v>
      </c>
      <c r="G133" s="1224">
        <f>+P127-F127</f>
        <v>-21600</v>
      </c>
      <c r="H133" s="1225">
        <f>+F133+G133</f>
        <v>0</v>
      </c>
      <c r="L133" s="1217"/>
    </row>
    <row r="134" spans="1:12" s="482" customFormat="1" ht="12">
      <c r="A134" s="1210"/>
      <c r="B134" s="1211"/>
      <c r="C134" s="1212"/>
      <c r="E134" s="1226"/>
      <c r="F134" s="1227"/>
      <c r="G134" s="1228"/>
      <c r="H134" s="1227"/>
      <c r="L134" s="1217"/>
    </row>
    <row r="135" spans="5:7" ht="12" hidden="1">
      <c r="E135" s="1229" t="s">
        <v>1358</v>
      </c>
      <c r="F135" s="1230"/>
      <c r="G135" s="1231">
        <f>30000+3497-23306-3545</f>
        <v>6646</v>
      </c>
    </row>
    <row r="136" spans="5:7" ht="12" hidden="1">
      <c r="E136" s="1229" t="s">
        <v>1359</v>
      </c>
      <c r="F136" s="1230"/>
      <c r="G136" s="1231">
        <f>20674-20674</f>
        <v>0</v>
      </c>
    </row>
    <row r="137" spans="5:7" ht="12" hidden="1">
      <c r="E137" s="1229" t="s">
        <v>1360</v>
      </c>
      <c r="F137" s="1230"/>
      <c r="G137" s="1231">
        <f>1431+386-1431-386</f>
        <v>0</v>
      </c>
    </row>
    <row r="138" spans="5:7" ht="12" hidden="1">
      <c r="E138" s="1229" t="s">
        <v>1361</v>
      </c>
      <c r="F138" s="1230"/>
      <c r="G138" s="1231">
        <f>-522-141</f>
        <v>-663</v>
      </c>
    </row>
    <row r="139" spans="5:7" ht="12" hidden="1">
      <c r="E139" s="1229" t="s">
        <v>1362</v>
      </c>
      <c r="F139" s="1230"/>
      <c r="G139" s="1231">
        <f>3*60-180</f>
        <v>0</v>
      </c>
    </row>
    <row r="140" spans="5:7" ht="12" hidden="1">
      <c r="E140" s="1229" t="s">
        <v>1363</v>
      </c>
      <c r="F140" s="1230"/>
      <c r="G140" s="1231">
        <f>-12*1270+10*1270</f>
        <v>-2540</v>
      </c>
    </row>
    <row r="141" spans="1:12" s="1229" customFormat="1" ht="12" hidden="1">
      <c r="A141" s="1232"/>
      <c r="B141" s="1233"/>
      <c r="C141" s="1234"/>
      <c r="E141" s="1229" t="s">
        <v>1364</v>
      </c>
      <c r="F141" s="1230"/>
      <c r="G141" s="1231">
        <f>-700-3000</f>
        <v>-3700</v>
      </c>
      <c r="L141" s="1230"/>
    </row>
    <row r="142" spans="1:12" s="1229" customFormat="1" ht="12" hidden="1">
      <c r="A142" s="1232"/>
      <c r="B142" s="1233"/>
      <c r="C142" s="1234"/>
      <c r="E142" s="1229" t="s">
        <v>1365</v>
      </c>
      <c r="F142" s="1230"/>
      <c r="G142" s="1231">
        <v>-7663</v>
      </c>
      <c r="L142" s="1230"/>
    </row>
    <row r="143" spans="1:12" s="1229" customFormat="1" ht="12" hidden="1">
      <c r="A143" s="1232"/>
      <c r="B143" s="1233"/>
      <c r="C143" s="1234"/>
      <c r="E143" s="1229" t="s">
        <v>1366</v>
      </c>
      <c r="F143" s="1230"/>
      <c r="G143" s="1231">
        <v>-4000</v>
      </c>
      <c r="L143" s="1230"/>
    </row>
    <row r="144" spans="5:7" ht="12" hidden="1">
      <c r="E144" s="1229" t="s">
        <v>1367</v>
      </c>
      <c r="F144" s="1230"/>
      <c r="G144" s="1231">
        <f>12461-12356</f>
        <v>105</v>
      </c>
    </row>
    <row r="145" spans="5:7" ht="12" hidden="1">
      <c r="E145" s="1229" t="s">
        <v>1368</v>
      </c>
      <c r="F145" s="1230"/>
      <c r="G145" s="1231">
        <f>2500+36</f>
        <v>2536</v>
      </c>
    </row>
    <row r="146" spans="5:8" ht="12" hidden="1">
      <c r="E146" s="1229" t="s">
        <v>1369</v>
      </c>
      <c r="F146" s="1230"/>
      <c r="G146" s="1231">
        <f>10000-10000</f>
        <v>0</v>
      </c>
      <c r="H146" s="1229"/>
    </row>
    <row r="147" spans="5:7" ht="12" hidden="1">
      <c r="E147" s="1229" t="s">
        <v>1370</v>
      </c>
      <c r="F147" s="1230"/>
      <c r="G147" s="1231">
        <f>-1000</f>
        <v>-1000</v>
      </c>
    </row>
    <row r="148" spans="1:12" s="1229" customFormat="1" ht="12" hidden="1">
      <c r="A148" s="1232"/>
      <c r="B148" s="1233"/>
      <c r="C148" s="1234"/>
      <c r="E148" s="1229" t="s">
        <v>1371</v>
      </c>
      <c r="F148" s="1230"/>
      <c r="G148" s="1231">
        <f>750+610-750-610</f>
        <v>0</v>
      </c>
      <c r="L148" s="1230"/>
    </row>
    <row r="149" spans="1:12" s="1229" customFormat="1" ht="12" hidden="1">
      <c r="A149" s="1232"/>
      <c r="B149" s="1233"/>
      <c r="C149" s="1234"/>
      <c r="E149" s="1229" t="s">
        <v>1372</v>
      </c>
      <c r="F149" s="1230"/>
      <c r="G149" s="1231">
        <f>559</f>
        <v>559</v>
      </c>
      <c r="L149" s="1230"/>
    </row>
    <row r="150" spans="5:7" ht="12" hidden="1">
      <c r="E150" s="1229" t="s">
        <v>1373</v>
      </c>
      <c r="F150" s="1230"/>
      <c r="G150" s="1231">
        <f>-450-122-851</f>
        <v>-1423</v>
      </c>
    </row>
    <row r="151" spans="5:7" ht="12" hidden="1">
      <c r="E151" s="1229" t="s">
        <v>1374</v>
      </c>
      <c r="G151" s="1231">
        <f>-500-135</f>
        <v>-635</v>
      </c>
    </row>
    <row r="152" spans="1:12" s="1229" customFormat="1" ht="12" hidden="1">
      <c r="A152" s="1232"/>
      <c r="B152" s="1233"/>
      <c r="C152" s="1234"/>
      <c r="E152" s="1229" t="s">
        <v>1375</v>
      </c>
      <c r="F152" s="1230"/>
      <c r="G152" s="1231">
        <v>-9822</v>
      </c>
      <c r="L152" s="1230"/>
    </row>
    <row r="153" spans="5:7" ht="12" hidden="1">
      <c r="E153" s="1229" t="s">
        <v>1376</v>
      </c>
      <c r="F153" s="1230"/>
      <c r="G153" s="1231">
        <f>184345+24888+8214+5200-222647</f>
        <v>0</v>
      </c>
    </row>
    <row r="154" ht="12" hidden="1"/>
    <row r="155" ht="12" hidden="1"/>
    <row r="156" spans="1:12" s="1201" customFormat="1" ht="12" hidden="1">
      <c r="A156" s="1235"/>
      <c r="B156" s="1236"/>
      <c r="C156" s="1237"/>
      <c r="E156" s="1201" t="s">
        <v>1377</v>
      </c>
      <c r="F156" s="1238">
        <v>-4000</v>
      </c>
      <c r="G156" s="1239">
        <f>+F156*0.1</f>
        <v>-400</v>
      </c>
      <c r="L156" s="1238"/>
    </row>
    <row r="157" spans="1:12" s="1201" customFormat="1" ht="12" hidden="1">
      <c r="A157" s="1235"/>
      <c r="B157" s="1236"/>
      <c r="C157" s="1237"/>
      <c r="E157" s="1201" t="s">
        <v>1378</v>
      </c>
      <c r="F157" s="1238">
        <v>-30000</v>
      </c>
      <c r="G157" s="1239">
        <f>+F157*0.2</f>
        <v>-6000</v>
      </c>
      <c r="L157" s="1238"/>
    </row>
    <row r="158" spans="1:12" s="1201" customFormat="1" ht="12" hidden="1">
      <c r="A158" s="1235"/>
      <c r="B158" s="1236"/>
      <c r="C158" s="1237"/>
      <c r="E158" s="1201" t="s">
        <v>1379</v>
      </c>
      <c r="F158" s="1238">
        <v>-6875</v>
      </c>
      <c r="G158" s="1239">
        <f>+F158*0.3</f>
        <v>-2062.5</v>
      </c>
      <c r="L158" s="1238"/>
    </row>
    <row r="159" spans="1:12" s="1201" customFormat="1" ht="12" hidden="1">
      <c r="A159" s="1235"/>
      <c r="B159" s="1236"/>
      <c r="C159" s="1237"/>
      <c r="E159" s="1201" t="s">
        <v>1380</v>
      </c>
      <c r="F159" s="1238">
        <v>-2000</v>
      </c>
      <c r="G159" s="1239">
        <f>+F159*0.1</f>
        <v>-200</v>
      </c>
      <c r="L159" s="1238"/>
    </row>
    <row r="160" spans="1:12" s="1201" customFormat="1" ht="12" hidden="1">
      <c r="A160" s="1235"/>
      <c r="B160" s="1236"/>
      <c r="C160" s="1237"/>
      <c r="E160" s="1201" t="s">
        <v>1381</v>
      </c>
      <c r="F160" s="1238">
        <v>1000</v>
      </c>
      <c r="G160" s="1239">
        <f>+F160</f>
        <v>1000</v>
      </c>
      <c r="L160" s="1238"/>
    </row>
  </sheetData>
  <sheetProtection/>
  <mergeCells count="64">
    <mergeCell ref="W6:W7"/>
    <mergeCell ref="R6:V6"/>
    <mergeCell ref="G6:G7"/>
    <mergeCell ref="Q6:Q7"/>
    <mergeCell ref="A3:Z3"/>
    <mergeCell ref="A5:A7"/>
    <mergeCell ref="B5:B7"/>
    <mergeCell ref="C5:C7"/>
    <mergeCell ref="D5:D7"/>
    <mergeCell ref="E5:E7"/>
    <mergeCell ref="F5:O5"/>
    <mergeCell ref="P5:Z5"/>
    <mergeCell ref="A13:E13"/>
    <mergeCell ref="A14:E14"/>
    <mergeCell ref="H6:K6"/>
    <mergeCell ref="L6:L7"/>
    <mergeCell ref="M6:O6"/>
    <mergeCell ref="P6:P7"/>
    <mergeCell ref="A10:E10"/>
    <mergeCell ref="A11:E11"/>
    <mergeCell ref="A12:E12"/>
    <mergeCell ref="F6:F7"/>
    <mergeCell ref="A15:E15"/>
    <mergeCell ref="A24:E24"/>
    <mergeCell ref="A26:E26"/>
    <mergeCell ref="A37:E37"/>
    <mergeCell ref="A38:E38"/>
    <mergeCell ref="A45:E45"/>
    <mergeCell ref="A47:E47"/>
    <mergeCell ref="A50:E50"/>
    <mergeCell ref="A54:E54"/>
    <mergeCell ref="A63:E63"/>
    <mergeCell ref="A65:E65"/>
    <mergeCell ref="A67:E67"/>
    <mergeCell ref="B71:E71"/>
    <mergeCell ref="A74:E74"/>
    <mergeCell ref="A76:E76"/>
    <mergeCell ref="A79:E79"/>
    <mergeCell ref="B88:E88"/>
    <mergeCell ref="B93:E93"/>
    <mergeCell ref="B94:E94"/>
    <mergeCell ref="A97:E97"/>
    <mergeCell ref="A98:E98"/>
    <mergeCell ref="A100:E100"/>
    <mergeCell ref="A101:E101"/>
    <mergeCell ref="A102:E102"/>
    <mergeCell ref="B120:E120"/>
    <mergeCell ref="A121:E121"/>
    <mergeCell ref="A103:E103"/>
    <mergeCell ref="B106:E106"/>
    <mergeCell ref="B109:E109"/>
    <mergeCell ref="B111:E111"/>
    <mergeCell ref="B112:E112"/>
    <mergeCell ref="B114:E114"/>
    <mergeCell ref="A2:Z2"/>
    <mergeCell ref="A122:E122"/>
    <mergeCell ref="B123:E123"/>
    <mergeCell ref="B124:E124"/>
    <mergeCell ref="B125:E125"/>
    <mergeCell ref="B127:E127"/>
    <mergeCell ref="A115:E115"/>
    <mergeCell ref="B116:E116"/>
    <mergeCell ref="B117:E117"/>
    <mergeCell ref="B118:E118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8" scale="42" r:id="rId1"/>
  <headerFooter alignWithMargins="0">
    <oddHeader>&amp;C&amp;"Times New Roman CE,Félkövér"&amp;14
&amp;R&amp;"Times New Roman CE,Dőlt"&amp;12
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F0"/>
  </sheetPr>
  <dimension ref="A1:Y203"/>
  <sheetViews>
    <sheetView zoomScale="80" zoomScaleNormal="80" zoomScalePageLayoutView="0" workbookViewId="0" topLeftCell="F1">
      <selection activeCell="P1" sqref="P1"/>
    </sheetView>
  </sheetViews>
  <sheetFormatPr defaultColWidth="10.625" defaultRowHeight="12.75"/>
  <cols>
    <col min="1" max="1" width="5.375" style="838" bestFit="1" customWidth="1"/>
    <col min="2" max="2" width="7.875" style="845" customWidth="1"/>
    <col min="3" max="3" width="75.25390625" style="715" customWidth="1"/>
    <col min="4" max="4" width="10.625" style="393" customWidth="1"/>
    <col min="5" max="5" width="65.25390625" style="393" customWidth="1"/>
    <col min="6" max="6" width="10.625" style="716" customWidth="1"/>
    <col min="7" max="7" width="11.25390625" style="717" customWidth="1"/>
    <col min="8" max="10" width="10.625" style="393" customWidth="1"/>
    <col min="11" max="11" width="11.625" style="393" customWidth="1"/>
    <col min="12" max="12" width="11.75390625" style="716" customWidth="1"/>
    <col min="13" max="14" width="10.625" style="393" customWidth="1"/>
    <col min="15" max="15" width="12.375" style="393" customWidth="1"/>
    <col min="16" max="17" width="10.625" style="393" customWidth="1"/>
    <col min="18" max="16384" width="10.625" style="393" customWidth="1"/>
  </cols>
  <sheetData>
    <row r="1" spans="1:17" s="391" customFormat="1" ht="15.75">
      <c r="A1" s="837"/>
      <c r="B1" s="844"/>
      <c r="C1" s="809"/>
      <c r="F1" s="700"/>
      <c r="G1" s="810"/>
      <c r="L1" s="700"/>
      <c r="P1" s="223" t="s">
        <v>1418</v>
      </c>
      <c r="Q1" s="701"/>
    </row>
    <row r="2" spans="1:17" s="391" customFormat="1" ht="15.75">
      <c r="A2" s="837"/>
      <c r="B2" s="844"/>
      <c r="C2" s="809"/>
      <c r="F2" s="700"/>
      <c r="G2" s="810"/>
      <c r="K2" s="701"/>
      <c r="L2" s="700"/>
      <c r="O2" s="701"/>
      <c r="P2" s="701"/>
      <c r="Q2" s="701"/>
    </row>
    <row r="3" spans="1:16" s="391" customFormat="1" ht="15.75">
      <c r="A3" s="1250" t="s">
        <v>1079</v>
      </c>
      <c r="B3" s="1250"/>
      <c r="C3" s="1250"/>
      <c r="D3" s="1250"/>
      <c r="E3" s="1250"/>
      <c r="F3" s="1250"/>
      <c r="G3" s="1250"/>
      <c r="H3" s="1250"/>
      <c r="I3" s="1250"/>
      <c r="J3" s="1250"/>
      <c r="K3" s="1250"/>
      <c r="L3" s="1250"/>
      <c r="M3" s="1250"/>
      <c r="N3" s="1250"/>
      <c r="O3" s="1250"/>
      <c r="P3" s="1250"/>
    </row>
    <row r="4" spans="11:17" ht="12.75" thickBot="1">
      <c r="K4" s="295"/>
      <c r="O4" s="295" t="s">
        <v>543</v>
      </c>
      <c r="P4" s="718"/>
      <c r="Q4" s="295"/>
    </row>
    <row r="5" spans="1:17" s="720" customFormat="1" ht="12.75" thickBot="1">
      <c r="A5" s="1361" t="s">
        <v>17</v>
      </c>
      <c r="B5" s="1365" t="s">
        <v>1063</v>
      </c>
      <c r="C5" s="1367" t="s">
        <v>1062</v>
      </c>
      <c r="D5" s="1281" t="s">
        <v>1041</v>
      </c>
      <c r="E5" s="1363" t="s">
        <v>1040</v>
      </c>
      <c r="F5" s="1272" t="s">
        <v>419</v>
      </c>
      <c r="G5" s="1272" t="s">
        <v>1064</v>
      </c>
      <c r="H5" s="1277" t="s">
        <v>1042</v>
      </c>
      <c r="I5" s="1278"/>
      <c r="J5" s="1278"/>
      <c r="K5" s="1279"/>
      <c r="L5" s="1272" t="s">
        <v>1065</v>
      </c>
      <c r="M5" s="1280" t="s">
        <v>1042</v>
      </c>
      <c r="N5" s="1278"/>
      <c r="O5" s="1279"/>
      <c r="P5" s="719"/>
      <c r="Q5" s="719"/>
    </row>
    <row r="6" spans="1:17" s="720" customFormat="1" ht="72.75" thickBot="1">
      <c r="A6" s="1362"/>
      <c r="B6" s="1366"/>
      <c r="C6" s="1368"/>
      <c r="D6" s="1294"/>
      <c r="E6" s="1364"/>
      <c r="F6" s="1273"/>
      <c r="G6" s="1273"/>
      <c r="H6" s="390" t="s">
        <v>1066</v>
      </c>
      <c r="I6" s="485" t="s">
        <v>650</v>
      </c>
      <c r="J6" s="485" t="s">
        <v>1067</v>
      </c>
      <c r="K6" s="484" t="s">
        <v>1068</v>
      </c>
      <c r="L6" s="1273"/>
      <c r="M6" s="390" t="s">
        <v>658</v>
      </c>
      <c r="N6" s="485" t="s">
        <v>659</v>
      </c>
      <c r="O6" s="484" t="s">
        <v>660</v>
      </c>
      <c r="P6" s="721"/>
      <c r="Q6" s="721"/>
    </row>
    <row r="7" spans="1:17" s="720" customFormat="1" ht="12">
      <c r="A7" s="839">
        <v>1</v>
      </c>
      <c r="B7" s="846" t="s">
        <v>1070</v>
      </c>
      <c r="C7" s="821" t="s">
        <v>925</v>
      </c>
      <c r="D7" s="216" t="s">
        <v>877</v>
      </c>
      <c r="E7" s="823" t="s">
        <v>931</v>
      </c>
      <c r="F7" s="710">
        <f aca="true" t="shared" si="0" ref="F7:F52">+G7+L7</f>
        <v>0</v>
      </c>
      <c r="G7" s="711">
        <f aca="true" t="shared" si="1" ref="G7:G52">+H7+I7+J7+K7</f>
        <v>0</v>
      </c>
      <c r="H7" s="705">
        <v>0</v>
      </c>
      <c r="I7" s="706">
        <v>0</v>
      </c>
      <c r="J7" s="706">
        <v>0</v>
      </c>
      <c r="K7" s="707">
        <v>0</v>
      </c>
      <c r="L7" s="711">
        <f>+M7+N7+O7</f>
        <v>0</v>
      </c>
      <c r="M7" s="705">
        <v>0</v>
      </c>
      <c r="N7" s="706">
        <v>0</v>
      </c>
      <c r="O7" s="707">
        <v>0</v>
      </c>
      <c r="P7" s="718"/>
      <c r="Q7" s="719"/>
    </row>
    <row r="8" spans="1:17" s="720" customFormat="1" ht="12">
      <c r="A8" s="839">
        <f>+A7+1</f>
        <v>2</v>
      </c>
      <c r="B8" s="847" t="s">
        <v>934</v>
      </c>
      <c r="C8" s="812" t="s">
        <v>933</v>
      </c>
      <c r="D8" s="723" t="s">
        <v>923</v>
      </c>
      <c r="E8" s="824" t="s">
        <v>932</v>
      </c>
      <c r="F8" s="710">
        <f t="shared" si="0"/>
        <v>76930</v>
      </c>
      <c r="G8" s="711">
        <f t="shared" si="1"/>
        <v>76930</v>
      </c>
      <c r="H8" s="705">
        <v>19318</v>
      </c>
      <c r="I8" s="706">
        <v>2200</v>
      </c>
      <c r="J8" s="706">
        <v>1250</v>
      </c>
      <c r="K8" s="707">
        <v>54162</v>
      </c>
      <c r="L8" s="711">
        <f aca="true" t="shared" si="2" ref="L8:L52">+M8+N8+O8</f>
        <v>0</v>
      </c>
      <c r="M8" s="705">
        <v>0</v>
      </c>
      <c r="N8" s="706">
        <v>0</v>
      </c>
      <c r="O8" s="707">
        <v>0</v>
      </c>
      <c r="P8" s="718"/>
      <c r="Q8" s="719"/>
    </row>
    <row r="9" spans="1:17" s="720" customFormat="1" ht="12">
      <c r="A9" s="839">
        <f>+A8+1</f>
        <v>3</v>
      </c>
      <c r="B9" s="847" t="s">
        <v>943</v>
      </c>
      <c r="C9" s="812" t="s">
        <v>933</v>
      </c>
      <c r="D9" s="723" t="s">
        <v>942</v>
      </c>
      <c r="E9" s="824" t="s">
        <v>941</v>
      </c>
      <c r="F9" s="710">
        <f t="shared" si="0"/>
        <v>0</v>
      </c>
      <c r="G9" s="711">
        <f t="shared" si="1"/>
        <v>0</v>
      </c>
      <c r="H9" s="705">
        <v>0</v>
      </c>
      <c r="I9" s="706">
        <v>0</v>
      </c>
      <c r="J9" s="706">
        <v>0</v>
      </c>
      <c r="K9" s="707">
        <v>0</v>
      </c>
      <c r="L9" s="711">
        <f t="shared" si="2"/>
        <v>0</v>
      </c>
      <c r="M9" s="705">
        <v>0</v>
      </c>
      <c r="N9" s="706">
        <v>0</v>
      </c>
      <c r="O9" s="707">
        <v>0</v>
      </c>
      <c r="P9" s="718"/>
      <c r="Q9" s="719"/>
    </row>
    <row r="10" spans="1:17" s="733" customFormat="1" ht="12">
      <c r="A10" s="839">
        <f aca="true" t="shared" si="3" ref="A10:A52">+A9+1</f>
        <v>4</v>
      </c>
      <c r="B10" s="847" t="s">
        <v>936</v>
      </c>
      <c r="C10" s="812" t="s">
        <v>935</v>
      </c>
      <c r="D10" s="723" t="s">
        <v>878</v>
      </c>
      <c r="E10" s="824" t="s">
        <v>839</v>
      </c>
      <c r="F10" s="727">
        <f t="shared" si="0"/>
        <v>287950</v>
      </c>
      <c r="G10" s="728">
        <f t="shared" si="1"/>
        <v>287950</v>
      </c>
      <c r="H10" s="705">
        <v>0</v>
      </c>
      <c r="I10" s="706">
        <v>287950</v>
      </c>
      <c r="J10" s="706">
        <v>0</v>
      </c>
      <c r="K10" s="707">
        <v>0</v>
      </c>
      <c r="L10" s="728">
        <f t="shared" si="2"/>
        <v>0</v>
      </c>
      <c r="M10" s="705">
        <v>0</v>
      </c>
      <c r="N10" s="706">
        <v>0</v>
      </c>
      <c r="O10" s="707">
        <v>0</v>
      </c>
      <c r="P10" s="732"/>
      <c r="Q10" s="719"/>
    </row>
    <row r="11" spans="1:17" s="720" customFormat="1" ht="12">
      <c r="A11" s="839">
        <f t="shared" si="3"/>
        <v>5</v>
      </c>
      <c r="B11" s="847" t="s">
        <v>1004</v>
      </c>
      <c r="C11" s="812" t="s">
        <v>1003</v>
      </c>
      <c r="D11" s="735" t="s">
        <v>904</v>
      </c>
      <c r="E11" s="824" t="s">
        <v>861</v>
      </c>
      <c r="F11" s="736">
        <f>+G11+L11</f>
        <v>127</v>
      </c>
      <c r="G11" s="737">
        <f>+H11+I11+J11+K11</f>
        <v>127</v>
      </c>
      <c r="H11" s="705">
        <v>0</v>
      </c>
      <c r="I11" s="706">
        <v>0</v>
      </c>
      <c r="J11" s="706">
        <v>127</v>
      </c>
      <c r="K11" s="707">
        <v>0</v>
      </c>
      <c r="L11" s="737">
        <f>+M11+N11+O11</f>
        <v>0</v>
      </c>
      <c r="M11" s="705">
        <v>0</v>
      </c>
      <c r="N11" s="706">
        <v>0</v>
      </c>
      <c r="O11" s="707">
        <v>0</v>
      </c>
      <c r="P11" s="718"/>
      <c r="Q11" s="719"/>
    </row>
    <row r="12" spans="1:17" ht="12">
      <c r="A12" s="839">
        <f t="shared" si="3"/>
        <v>6</v>
      </c>
      <c r="B12" s="847" t="s">
        <v>988</v>
      </c>
      <c r="C12" s="813" t="s">
        <v>987</v>
      </c>
      <c r="D12" s="723" t="s">
        <v>985</v>
      </c>
      <c r="E12" s="825" t="s">
        <v>986</v>
      </c>
      <c r="F12" s="710">
        <f t="shared" si="0"/>
        <v>0</v>
      </c>
      <c r="G12" s="711">
        <f t="shared" si="1"/>
        <v>0</v>
      </c>
      <c r="H12" s="705">
        <v>0</v>
      </c>
      <c r="I12" s="706">
        <v>0</v>
      </c>
      <c r="J12" s="706">
        <v>0</v>
      </c>
      <c r="K12" s="707">
        <v>0</v>
      </c>
      <c r="L12" s="711">
        <f t="shared" si="2"/>
        <v>0</v>
      </c>
      <c r="M12" s="705">
        <v>0</v>
      </c>
      <c r="N12" s="706">
        <v>0</v>
      </c>
      <c r="O12" s="707">
        <v>0</v>
      </c>
      <c r="P12" s="718"/>
      <c r="Q12" s="718"/>
    </row>
    <row r="13" spans="1:17" ht="24">
      <c r="A13" s="839">
        <f t="shared" si="3"/>
        <v>7</v>
      </c>
      <c r="B13" s="847" t="s">
        <v>988</v>
      </c>
      <c r="C13" s="812" t="s">
        <v>1005</v>
      </c>
      <c r="D13" s="735" t="s">
        <v>905</v>
      </c>
      <c r="E13" s="826" t="s">
        <v>862</v>
      </c>
      <c r="F13" s="736">
        <f t="shared" si="0"/>
        <v>9513</v>
      </c>
      <c r="G13" s="737">
        <f t="shared" si="1"/>
        <v>9513</v>
      </c>
      <c r="H13" s="705">
        <v>0</v>
      </c>
      <c r="I13" s="706">
        <v>0</v>
      </c>
      <c r="J13" s="706">
        <v>9513</v>
      </c>
      <c r="K13" s="707">
        <v>0</v>
      </c>
      <c r="L13" s="737">
        <f t="shared" si="2"/>
        <v>0</v>
      </c>
      <c r="M13" s="705">
        <v>0</v>
      </c>
      <c r="N13" s="706">
        <v>0</v>
      </c>
      <c r="O13" s="707">
        <v>0</v>
      </c>
      <c r="P13" s="718"/>
      <c r="Q13" s="719"/>
    </row>
    <row r="14" spans="1:17" s="748" customFormat="1" ht="12">
      <c r="A14" s="839">
        <f t="shared" si="3"/>
        <v>8</v>
      </c>
      <c r="B14" s="847" t="s">
        <v>980</v>
      </c>
      <c r="C14" s="811" t="s">
        <v>979</v>
      </c>
      <c r="D14" s="735" t="s">
        <v>1034</v>
      </c>
      <c r="E14" s="822" t="s">
        <v>1088</v>
      </c>
      <c r="F14" s="736">
        <f t="shared" si="0"/>
        <v>525</v>
      </c>
      <c r="G14" s="737">
        <f t="shared" si="1"/>
        <v>525</v>
      </c>
      <c r="H14" s="705">
        <v>0</v>
      </c>
      <c r="I14" s="706">
        <v>0</v>
      </c>
      <c r="J14" s="706">
        <v>525</v>
      </c>
      <c r="K14" s="707">
        <v>0</v>
      </c>
      <c r="L14" s="737">
        <f t="shared" si="2"/>
        <v>0</v>
      </c>
      <c r="M14" s="705">
        <v>0</v>
      </c>
      <c r="N14" s="706">
        <v>0</v>
      </c>
      <c r="O14" s="707">
        <v>0</v>
      </c>
      <c r="P14" s="718"/>
      <c r="Q14" s="719"/>
    </row>
    <row r="15" spans="1:17" ht="12">
      <c r="A15" s="839">
        <f t="shared" si="3"/>
        <v>9</v>
      </c>
      <c r="B15" s="847" t="s">
        <v>940</v>
      </c>
      <c r="C15" s="812" t="s">
        <v>939</v>
      </c>
      <c r="D15" s="735" t="s">
        <v>880</v>
      </c>
      <c r="E15" s="826" t="s">
        <v>841</v>
      </c>
      <c r="F15" s="736">
        <f t="shared" si="0"/>
        <v>0</v>
      </c>
      <c r="G15" s="737">
        <f t="shared" si="1"/>
        <v>0</v>
      </c>
      <c r="H15" s="705">
        <v>0</v>
      </c>
      <c r="I15" s="706">
        <v>0</v>
      </c>
      <c r="J15" s="706">
        <v>0</v>
      </c>
      <c r="K15" s="707">
        <v>0</v>
      </c>
      <c r="L15" s="737">
        <f t="shared" si="2"/>
        <v>0</v>
      </c>
      <c r="M15" s="705">
        <v>0</v>
      </c>
      <c r="N15" s="706">
        <v>0</v>
      </c>
      <c r="O15" s="707">
        <v>0</v>
      </c>
      <c r="P15" s="718"/>
      <c r="Q15" s="719"/>
    </row>
    <row r="16" spans="1:17" ht="12">
      <c r="A16" s="839">
        <f t="shared" si="3"/>
        <v>10</v>
      </c>
      <c r="B16" s="847" t="s">
        <v>1013</v>
      </c>
      <c r="C16" s="812" t="s">
        <v>1010</v>
      </c>
      <c r="D16" s="735" t="s">
        <v>906</v>
      </c>
      <c r="E16" s="826" t="s">
        <v>1008</v>
      </c>
      <c r="F16" s="736">
        <f t="shared" si="0"/>
        <v>667497</v>
      </c>
      <c r="G16" s="737">
        <f t="shared" si="1"/>
        <v>667497</v>
      </c>
      <c r="H16" s="705">
        <v>667497</v>
      </c>
      <c r="I16" s="706">
        <v>0</v>
      </c>
      <c r="J16" s="706">
        <v>0</v>
      </c>
      <c r="K16" s="707">
        <v>0</v>
      </c>
      <c r="L16" s="737">
        <f t="shared" si="2"/>
        <v>0</v>
      </c>
      <c r="M16" s="705">
        <v>0</v>
      </c>
      <c r="N16" s="706">
        <v>0</v>
      </c>
      <c r="O16" s="707">
        <v>0</v>
      </c>
      <c r="P16" s="718"/>
      <c r="Q16" s="719"/>
    </row>
    <row r="17" spans="1:17" ht="12">
      <c r="A17" s="839">
        <f t="shared" si="3"/>
        <v>11</v>
      </c>
      <c r="B17" s="847" t="s">
        <v>1009</v>
      </c>
      <c r="C17" s="812" t="s">
        <v>1012</v>
      </c>
      <c r="D17" s="735" t="s">
        <v>1011</v>
      </c>
      <c r="E17" s="826" t="s">
        <v>863</v>
      </c>
      <c r="F17" s="736">
        <f t="shared" si="0"/>
        <v>0</v>
      </c>
      <c r="G17" s="737">
        <f t="shared" si="1"/>
        <v>0</v>
      </c>
      <c r="H17" s="705">
        <v>0</v>
      </c>
      <c r="I17" s="706">
        <v>0</v>
      </c>
      <c r="J17" s="706">
        <v>0</v>
      </c>
      <c r="K17" s="707">
        <v>0</v>
      </c>
      <c r="L17" s="737">
        <f t="shared" si="2"/>
        <v>0</v>
      </c>
      <c r="M17" s="705">
        <v>0</v>
      </c>
      <c r="N17" s="706">
        <v>0</v>
      </c>
      <c r="O17" s="707">
        <v>0</v>
      </c>
      <c r="P17" s="718"/>
      <c r="Q17" s="719"/>
    </row>
    <row r="18" spans="1:17" ht="12">
      <c r="A18" s="839">
        <f t="shared" si="3"/>
        <v>12</v>
      </c>
      <c r="B18" s="847" t="s">
        <v>1015</v>
      </c>
      <c r="C18" s="812" t="s">
        <v>1014</v>
      </c>
      <c r="D18" s="735" t="s">
        <v>907</v>
      </c>
      <c r="E18" s="826" t="s">
        <v>864</v>
      </c>
      <c r="F18" s="736">
        <f t="shared" si="0"/>
        <v>0</v>
      </c>
      <c r="G18" s="737">
        <f t="shared" si="1"/>
        <v>0</v>
      </c>
      <c r="H18" s="705">
        <v>0</v>
      </c>
      <c r="I18" s="706">
        <v>0</v>
      </c>
      <c r="J18" s="706">
        <v>0</v>
      </c>
      <c r="K18" s="707">
        <v>0</v>
      </c>
      <c r="L18" s="737">
        <f t="shared" si="2"/>
        <v>0</v>
      </c>
      <c r="M18" s="705">
        <v>0</v>
      </c>
      <c r="N18" s="706">
        <v>0</v>
      </c>
      <c r="O18" s="707">
        <v>0</v>
      </c>
      <c r="P18" s="718"/>
      <c r="Q18" s="719"/>
    </row>
    <row r="19" spans="1:17" ht="12">
      <c r="A19" s="839">
        <f t="shared" si="3"/>
        <v>13</v>
      </c>
      <c r="B19" s="847" t="s">
        <v>993</v>
      </c>
      <c r="C19" s="812" t="s">
        <v>927</v>
      </c>
      <c r="D19" s="735" t="s">
        <v>902</v>
      </c>
      <c r="E19" s="826" t="s">
        <v>992</v>
      </c>
      <c r="F19" s="736">
        <f t="shared" si="0"/>
        <v>0</v>
      </c>
      <c r="G19" s="737">
        <f t="shared" si="1"/>
        <v>0</v>
      </c>
      <c r="H19" s="705">
        <v>0</v>
      </c>
      <c r="I19" s="706">
        <v>0</v>
      </c>
      <c r="J19" s="706">
        <v>0</v>
      </c>
      <c r="K19" s="707">
        <v>0</v>
      </c>
      <c r="L19" s="737">
        <f t="shared" si="2"/>
        <v>0</v>
      </c>
      <c r="M19" s="705">
        <v>0</v>
      </c>
      <c r="N19" s="706">
        <v>0</v>
      </c>
      <c r="O19" s="707">
        <v>0</v>
      </c>
      <c r="P19" s="718"/>
      <c r="Q19" s="719"/>
    </row>
    <row r="20" spans="1:17" ht="12">
      <c r="A20" s="839">
        <f t="shared" si="3"/>
        <v>14</v>
      </c>
      <c r="B20" s="847" t="s">
        <v>994</v>
      </c>
      <c r="C20" s="812" t="s">
        <v>928</v>
      </c>
      <c r="D20" s="735" t="s">
        <v>902</v>
      </c>
      <c r="E20" s="826" t="s">
        <v>992</v>
      </c>
      <c r="F20" s="736">
        <f t="shared" si="0"/>
        <v>0</v>
      </c>
      <c r="G20" s="737">
        <f t="shared" si="1"/>
        <v>0</v>
      </c>
      <c r="H20" s="705">
        <v>0</v>
      </c>
      <c r="I20" s="706">
        <v>0</v>
      </c>
      <c r="J20" s="706">
        <v>0</v>
      </c>
      <c r="K20" s="707">
        <v>0</v>
      </c>
      <c r="L20" s="737">
        <f t="shared" si="2"/>
        <v>0</v>
      </c>
      <c r="M20" s="705">
        <v>0</v>
      </c>
      <c r="N20" s="706">
        <v>0</v>
      </c>
      <c r="O20" s="707">
        <v>0</v>
      </c>
      <c r="P20" s="718"/>
      <c r="Q20" s="719"/>
    </row>
    <row r="21" spans="1:17" ht="12">
      <c r="A21" s="839">
        <f t="shared" si="3"/>
        <v>15</v>
      </c>
      <c r="B21" s="847" t="s">
        <v>996</v>
      </c>
      <c r="C21" s="812" t="s">
        <v>997</v>
      </c>
      <c r="D21" s="735" t="s">
        <v>1075</v>
      </c>
      <c r="E21" s="826" t="s">
        <v>995</v>
      </c>
      <c r="F21" s="736">
        <f t="shared" si="0"/>
        <v>222647</v>
      </c>
      <c r="G21" s="737">
        <f t="shared" si="1"/>
        <v>222647</v>
      </c>
      <c r="H21" s="705">
        <v>222647</v>
      </c>
      <c r="I21" s="706">
        <v>0</v>
      </c>
      <c r="J21" s="706">
        <v>0</v>
      </c>
      <c r="K21" s="707">
        <v>0</v>
      </c>
      <c r="L21" s="737">
        <f t="shared" si="2"/>
        <v>0</v>
      </c>
      <c r="M21" s="705">
        <v>0</v>
      </c>
      <c r="N21" s="706">
        <v>0</v>
      </c>
      <c r="O21" s="707">
        <v>0</v>
      </c>
      <c r="P21" s="718"/>
      <c r="Q21" s="719"/>
    </row>
    <row r="22" spans="1:17" ht="12">
      <c r="A22" s="839">
        <f t="shared" si="3"/>
        <v>16</v>
      </c>
      <c r="B22" s="847" t="s">
        <v>1000</v>
      </c>
      <c r="C22" s="812" t="s">
        <v>1001</v>
      </c>
      <c r="D22" s="735" t="s">
        <v>1076</v>
      </c>
      <c r="E22" s="826" t="s">
        <v>998</v>
      </c>
      <c r="F22" s="736">
        <f t="shared" si="0"/>
        <v>0</v>
      </c>
      <c r="G22" s="737">
        <f t="shared" si="1"/>
        <v>0</v>
      </c>
      <c r="H22" s="705">
        <v>0</v>
      </c>
      <c r="I22" s="706">
        <v>0</v>
      </c>
      <c r="J22" s="706">
        <v>0</v>
      </c>
      <c r="K22" s="707">
        <v>0</v>
      </c>
      <c r="L22" s="737">
        <f t="shared" si="2"/>
        <v>0</v>
      </c>
      <c r="M22" s="705">
        <v>0</v>
      </c>
      <c r="N22" s="706">
        <v>0</v>
      </c>
      <c r="O22" s="707">
        <v>0</v>
      </c>
      <c r="P22" s="718"/>
      <c r="Q22" s="719"/>
    </row>
    <row r="23" spans="1:17" ht="12">
      <c r="A23" s="839">
        <f t="shared" si="3"/>
        <v>17</v>
      </c>
      <c r="B23" s="847" t="s">
        <v>999</v>
      </c>
      <c r="C23" s="812" t="s">
        <v>929</v>
      </c>
      <c r="D23" s="735" t="s">
        <v>1076</v>
      </c>
      <c r="E23" s="826" t="s">
        <v>998</v>
      </c>
      <c r="F23" s="736">
        <f t="shared" si="0"/>
        <v>0</v>
      </c>
      <c r="G23" s="737">
        <f t="shared" si="1"/>
        <v>0</v>
      </c>
      <c r="H23" s="705">
        <v>0</v>
      </c>
      <c r="I23" s="706">
        <v>0</v>
      </c>
      <c r="J23" s="706">
        <v>0</v>
      </c>
      <c r="K23" s="707">
        <v>0</v>
      </c>
      <c r="L23" s="737">
        <f t="shared" si="2"/>
        <v>0</v>
      </c>
      <c r="M23" s="705">
        <v>0</v>
      </c>
      <c r="N23" s="706">
        <v>0</v>
      </c>
      <c r="O23" s="707">
        <v>0</v>
      </c>
      <c r="P23" s="718"/>
      <c r="Q23" s="719"/>
    </row>
    <row r="24" spans="1:17" ht="12">
      <c r="A24" s="839">
        <f t="shared" si="3"/>
        <v>18</v>
      </c>
      <c r="B24" s="847" t="s">
        <v>990</v>
      </c>
      <c r="C24" s="812" t="s">
        <v>989</v>
      </c>
      <c r="D24" s="735" t="s">
        <v>899</v>
      </c>
      <c r="E24" s="826" t="s">
        <v>857</v>
      </c>
      <c r="F24" s="736">
        <f t="shared" si="0"/>
        <v>0</v>
      </c>
      <c r="G24" s="737">
        <f t="shared" si="1"/>
        <v>0</v>
      </c>
      <c r="H24" s="705">
        <v>0</v>
      </c>
      <c r="I24" s="706">
        <v>0</v>
      </c>
      <c r="J24" s="706">
        <v>0</v>
      </c>
      <c r="K24" s="707">
        <v>0</v>
      </c>
      <c r="L24" s="737">
        <f t="shared" si="2"/>
        <v>0</v>
      </c>
      <c r="M24" s="705">
        <v>0</v>
      </c>
      <c r="N24" s="706">
        <v>0</v>
      </c>
      <c r="O24" s="707">
        <v>0</v>
      </c>
      <c r="P24" s="718"/>
      <c r="Q24" s="719"/>
    </row>
    <row r="25" spans="1:17" ht="12">
      <c r="A25" s="839">
        <f t="shared" si="3"/>
        <v>19</v>
      </c>
      <c r="B25" s="478" t="s">
        <v>971</v>
      </c>
      <c r="C25" s="812" t="s">
        <v>853</v>
      </c>
      <c r="D25" s="735" t="s">
        <v>896</v>
      </c>
      <c r="E25" s="826" t="s">
        <v>853</v>
      </c>
      <c r="F25" s="736">
        <f t="shared" si="0"/>
        <v>0</v>
      </c>
      <c r="G25" s="737">
        <f t="shared" si="1"/>
        <v>0</v>
      </c>
      <c r="H25" s="705">
        <v>0</v>
      </c>
      <c r="I25" s="706">
        <v>0</v>
      </c>
      <c r="J25" s="706">
        <v>0</v>
      </c>
      <c r="K25" s="707">
        <v>0</v>
      </c>
      <c r="L25" s="737">
        <f t="shared" si="2"/>
        <v>0</v>
      </c>
      <c r="M25" s="705">
        <v>0</v>
      </c>
      <c r="N25" s="706">
        <v>0</v>
      </c>
      <c r="O25" s="707">
        <v>0</v>
      </c>
      <c r="P25" s="718"/>
      <c r="Q25" s="719"/>
    </row>
    <row r="26" spans="1:17" ht="12">
      <c r="A26" s="839">
        <f t="shared" si="3"/>
        <v>20</v>
      </c>
      <c r="B26" s="475" t="s">
        <v>973</v>
      </c>
      <c r="C26" s="814" t="s">
        <v>972</v>
      </c>
      <c r="D26" s="743" t="s">
        <v>897</v>
      </c>
      <c r="E26" s="827" t="s">
        <v>972</v>
      </c>
      <c r="F26" s="744">
        <f t="shared" si="0"/>
        <v>0</v>
      </c>
      <c r="G26" s="745">
        <f t="shared" si="1"/>
        <v>0</v>
      </c>
      <c r="H26" s="705">
        <v>0</v>
      </c>
      <c r="I26" s="706">
        <v>0</v>
      </c>
      <c r="J26" s="706">
        <v>0</v>
      </c>
      <c r="K26" s="707">
        <v>0</v>
      </c>
      <c r="L26" s="745">
        <f t="shared" si="2"/>
        <v>0</v>
      </c>
      <c r="M26" s="705">
        <v>0</v>
      </c>
      <c r="N26" s="706">
        <v>0</v>
      </c>
      <c r="O26" s="707">
        <v>0</v>
      </c>
      <c r="P26" s="718"/>
      <c r="Q26" s="719"/>
    </row>
    <row r="27" spans="1:17" ht="12">
      <c r="A27" s="839">
        <f t="shared" si="3"/>
        <v>21</v>
      </c>
      <c r="B27" s="475" t="s">
        <v>975</v>
      </c>
      <c r="C27" s="814" t="s">
        <v>854</v>
      </c>
      <c r="D27" s="743" t="s">
        <v>974</v>
      </c>
      <c r="E27" s="827" t="s">
        <v>854</v>
      </c>
      <c r="F27" s="744">
        <f t="shared" si="0"/>
        <v>0</v>
      </c>
      <c r="G27" s="745">
        <f t="shared" si="1"/>
        <v>0</v>
      </c>
      <c r="H27" s="705">
        <v>0</v>
      </c>
      <c r="I27" s="706">
        <v>0</v>
      </c>
      <c r="J27" s="706">
        <v>0</v>
      </c>
      <c r="K27" s="707">
        <v>0</v>
      </c>
      <c r="L27" s="745">
        <f t="shared" si="2"/>
        <v>0</v>
      </c>
      <c r="M27" s="705">
        <v>0</v>
      </c>
      <c r="N27" s="706">
        <v>0</v>
      </c>
      <c r="O27" s="707">
        <v>0</v>
      </c>
      <c r="P27" s="718"/>
      <c r="Q27" s="719"/>
    </row>
    <row r="28" spans="1:17" s="748" customFormat="1" ht="12">
      <c r="A28" s="839">
        <f t="shared" si="3"/>
        <v>22</v>
      </c>
      <c r="B28" s="478" t="s">
        <v>1002</v>
      </c>
      <c r="C28" s="812" t="s">
        <v>860</v>
      </c>
      <c r="D28" s="735" t="s">
        <v>903</v>
      </c>
      <c r="E28" s="826" t="s">
        <v>860</v>
      </c>
      <c r="F28" s="736">
        <f t="shared" si="0"/>
        <v>0</v>
      </c>
      <c r="G28" s="737">
        <f t="shared" si="1"/>
        <v>0</v>
      </c>
      <c r="H28" s="705">
        <v>0</v>
      </c>
      <c r="I28" s="706">
        <v>0</v>
      </c>
      <c r="J28" s="706">
        <v>0</v>
      </c>
      <c r="K28" s="707">
        <v>0</v>
      </c>
      <c r="L28" s="737">
        <f t="shared" si="2"/>
        <v>0</v>
      </c>
      <c r="M28" s="705">
        <v>0</v>
      </c>
      <c r="N28" s="706">
        <v>0</v>
      </c>
      <c r="O28" s="707">
        <v>0</v>
      </c>
      <c r="P28" s="718"/>
      <c r="Q28" s="719"/>
    </row>
    <row r="29" spans="1:17" s="748" customFormat="1" ht="12">
      <c r="A29" s="839">
        <f t="shared" si="3"/>
        <v>23</v>
      </c>
      <c r="B29" s="478" t="s">
        <v>969</v>
      </c>
      <c r="C29" s="812" t="s">
        <v>970</v>
      </c>
      <c r="D29" s="735" t="s">
        <v>895</v>
      </c>
      <c r="E29" s="826" t="s">
        <v>968</v>
      </c>
      <c r="F29" s="736">
        <f t="shared" si="0"/>
        <v>0</v>
      </c>
      <c r="G29" s="737">
        <f t="shared" si="1"/>
        <v>0</v>
      </c>
      <c r="H29" s="705">
        <v>0</v>
      </c>
      <c r="I29" s="706">
        <v>0</v>
      </c>
      <c r="J29" s="706">
        <v>0</v>
      </c>
      <c r="K29" s="707">
        <v>0</v>
      </c>
      <c r="L29" s="737">
        <f t="shared" si="2"/>
        <v>0</v>
      </c>
      <c r="M29" s="705">
        <v>0</v>
      </c>
      <c r="N29" s="706">
        <v>0</v>
      </c>
      <c r="O29" s="707">
        <v>0</v>
      </c>
      <c r="P29" s="718"/>
      <c r="Q29" s="719"/>
    </row>
    <row r="30" spans="1:17" s="748" customFormat="1" ht="12">
      <c r="A30" s="839">
        <f t="shared" si="3"/>
        <v>24</v>
      </c>
      <c r="B30" s="478" t="s">
        <v>966</v>
      </c>
      <c r="C30" s="812" t="s">
        <v>967</v>
      </c>
      <c r="D30" s="735" t="s">
        <v>894</v>
      </c>
      <c r="E30" s="826" t="s">
        <v>852</v>
      </c>
      <c r="F30" s="736">
        <f t="shared" si="0"/>
        <v>23700</v>
      </c>
      <c r="G30" s="737">
        <f t="shared" si="1"/>
        <v>12700</v>
      </c>
      <c r="H30" s="705">
        <v>0</v>
      </c>
      <c r="I30" s="706">
        <v>0</v>
      </c>
      <c r="J30" s="706">
        <v>12700</v>
      </c>
      <c r="K30" s="707">
        <v>0</v>
      </c>
      <c r="L30" s="737">
        <f t="shared" si="2"/>
        <v>11000</v>
      </c>
      <c r="M30" s="705">
        <v>11000</v>
      </c>
      <c r="N30" s="706">
        <v>0</v>
      </c>
      <c r="O30" s="707">
        <v>0</v>
      </c>
      <c r="P30" s="718"/>
      <c r="Q30" s="719"/>
    </row>
    <row r="31" spans="1:17" s="748" customFormat="1" ht="12">
      <c r="A31" s="839">
        <f t="shared" si="3"/>
        <v>25</v>
      </c>
      <c r="B31" s="478" t="s">
        <v>977</v>
      </c>
      <c r="C31" s="812" t="s">
        <v>855</v>
      </c>
      <c r="D31" s="735" t="s">
        <v>976</v>
      </c>
      <c r="E31" s="826" t="s">
        <v>855</v>
      </c>
      <c r="F31" s="736">
        <f t="shared" si="0"/>
        <v>0</v>
      </c>
      <c r="G31" s="737">
        <f t="shared" si="1"/>
        <v>0</v>
      </c>
      <c r="H31" s="705">
        <v>0</v>
      </c>
      <c r="I31" s="706">
        <v>0</v>
      </c>
      <c r="J31" s="706">
        <v>0</v>
      </c>
      <c r="K31" s="707">
        <v>0</v>
      </c>
      <c r="L31" s="737">
        <f t="shared" si="2"/>
        <v>0</v>
      </c>
      <c r="M31" s="705">
        <v>0</v>
      </c>
      <c r="N31" s="706">
        <v>0</v>
      </c>
      <c r="O31" s="707">
        <v>0</v>
      </c>
      <c r="P31" s="718"/>
      <c r="Q31" s="719"/>
    </row>
    <row r="32" spans="1:17" s="748" customFormat="1" ht="12">
      <c r="A32" s="839">
        <f t="shared" si="3"/>
        <v>26</v>
      </c>
      <c r="B32" s="478" t="s">
        <v>991</v>
      </c>
      <c r="C32" s="812" t="s">
        <v>858</v>
      </c>
      <c r="D32" s="735" t="s">
        <v>900</v>
      </c>
      <c r="E32" s="826" t="s">
        <v>858</v>
      </c>
      <c r="F32" s="736">
        <f t="shared" si="0"/>
        <v>0</v>
      </c>
      <c r="G32" s="737">
        <f t="shared" si="1"/>
        <v>0</v>
      </c>
      <c r="H32" s="705">
        <v>0</v>
      </c>
      <c r="I32" s="706">
        <v>0</v>
      </c>
      <c r="J32" s="706">
        <v>0</v>
      </c>
      <c r="K32" s="707">
        <v>0</v>
      </c>
      <c r="L32" s="737">
        <f t="shared" si="2"/>
        <v>0</v>
      </c>
      <c r="M32" s="705">
        <v>0</v>
      </c>
      <c r="N32" s="706">
        <v>0</v>
      </c>
      <c r="O32" s="707">
        <v>0</v>
      </c>
      <c r="P32" s="718"/>
      <c r="Q32" s="719"/>
    </row>
    <row r="33" spans="1:17" s="748" customFormat="1" ht="12">
      <c r="A33" s="839">
        <f t="shared" si="3"/>
        <v>27</v>
      </c>
      <c r="B33" s="478" t="s">
        <v>978</v>
      </c>
      <c r="C33" s="812" t="s">
        <v>856</v>
      </c>
      <c r="D33" s="735" t="s">
        <v>898</v>
      </c>
      <c r="E33" s="826" t="s">
        <v>856</v>
      </c>
      <c r="F33" s="736">
        <f t="shared" si="0"/>
        <v>4635</v>
      </c>
      <c r="G33" s="737">
        <f t="shared" si="1"/>
        <v>4635</v>
      </c>
      <c r="H33" s="705">
        <v>3000</v>
      </c>
      <c r="I33" s="706">
        <v>0</v>
      </c>
      <c r="J33" s="706">
        <v>1635</v>
      </c>
      <c r="K33" s="707">
        <v>0</v>
      </c>
      <c r="L33" s="737">
        <f t="shared" si="2"/>
        <v>0</v>
      </c>
      <c r="M33" s="705">
        <v>0</v>
      </c>
      <c r="N33" s="706">
        <v>0</v>
      </c>
      <c r="O33" s="707">
        <v>0</v>
      </c>
      <c r="P33" s="718"/>
      <c r="Q33" s="719"/>
    </row>
    <row r="34" spans="1:17" s="748" customFormat="1" ht="12">
      <c r="A34" s="839">
        <f t="shared" si="3"/>
        <v>28</v>
      </c>
      <c r="B34" s="478" t="s">
        <v>982</v>
      </c>
      <c r="C34" s="812" t="s">
        <v>983</v>
      </c>
      <c r="D34" s="735" t="s">
        <v>1038</v>
      </c>
      <c r="E34" s="826" t="s">
        <v>983</v>
      </c>
      <c r="F34" s="736">
        <f>+G34+L34</f>
        <v>12356</v>
      </c>
      <c r="G34" s="737">
        <f t="shared" si="1"/>
        <v>0</v>
      </c>
      <c r="H34" s="705">
        <v>0</v>
      </c>
      <c r="I34" s="706">
        <v>0</v>
      </c>
      <c r="J34" s="706">
        <v>0</v>
      </c>
      <c r="K34" s="707">
        <v>0</v>
      </c>
      <c r="L34" s="737">
        <f t="shared" si="2"/>
        <v>12356</v>
      </c>
      <c r="M34" s="705">
        <v>12356</v>
      </c>
      <c r="N34" s="706">
        <v>0</v>
      </c>
      <c r="O34" s="707">
        <v>0</v>
      </c>
      <c r="P34" s="718"/>
      <c r="Q34" s="719"/>
    </row>
    <row r="35" spans="1:17" s="748" customFormat="1" ht="12">
      <c r="A35" s="839">
        <f t="shared" si="3"/>
        <v>29</v>
      </c>
      <c r="B35" s="585" t="s">
        <v>1018</v>
      </c>
      <c r="C35" s="811" t="s">
        <v>1016</v>
      </c>
      <c r="D35" s="735" t="s">
        <v>917</v>
      </c>
      <c r="E35" s="822" t="s">
        <v>873</v>
      </c>
      <c r="F35" s="736">
        <f t="shared" si="0"/>
        <v>0</v>
      </c>
      <c r="G35" s="737">
        <f t="shared" si="1"/>
        <v>0</v>
      </c>
      <c r="H35" s="705">
        <v>0</v>
      </c>
      <c r="I35" s="706">
        <v>0</v>
      </c>
      <c r="J35" s="706">
        <v>0</v>
      </c>
      <c r="K35" s="707">
        <v>0</v>
      </c>
      <c r="L35" s="737">
        <f t="shared" si="2"/>
        <v>0</v>
      </c>
      <c r="M35" s="705">
        <v>0</v>
      </c>
      <c r="N35" s="706">
        <v>0</v>
      </c>
      <c r="O35" s="707">
        <v>0</v>
      </c>
      <c r="P35" s="718"/>
      <c r="Q35" s="719"/>
    </row>
    <row r="36" spans="1:17" s="748" customFormat="1" ht="12">
      <c r="A36" s="839">
        <f t="shared" si="3"/>
        <v>30</v>
      </c>
      <c r="B36" s="585" t="s">
        <v>1019</v>
      </c>
      <c r="C36" s="811" t="s">
        <v>1017</v>
      </c>
      <c r="D36" s="735" t="s">
        <v>908</v>
      </c>
      <c r="E36" s="822" t="s">
        <v>865</v>
      </c>
      <c r="F36" s="736">
        <f t="shared" si="0"/>
        <v>0</v>
      </c>
      <c r="G36" s="737">
        <f t="shared" si="1"/>
        <v>0</v>
      </c>
      <c r="H36" s="705">
        <v>0</v>
      </c>
      <c r="I36" s="706">
        <v>0</v>
      </c>
      <c r="J36" s="706">
        <v>0</v>
      </c>
      <c r="K36" s="707">
        <v>0</v>
      </c>
      <c r="L36" s="737">
        <f t="shared" si="2"/>
        <v>0</v>
      </c>
      <c r="M36" s="705">
        <v>0</v>
      </c>
      <c r="N36" s="706">
        <v>0</v>
      </c>
      <c r="O36" s="707">
        <v>0</v>
      </c>
      <c r="P36" s="718"/>
      <c r="Q36" s="719"/>
    </row>
    <row r="37" spans="1:17" s="748" customFormat="1" ht="12">
      <c r="A37" s="839">
        <f t="shared" si="3"/>
        <v>31</v>
      </c>
      <c r="B37" s="585" t="s">
        <v>981</v>
      </c>
      <c r="C37" s="811" t="s">
        <v>984</v>
      </c>
      <c r="D37" s="735" t="s">
        <v>1037</v>
      </c>
      <c r="E37" s="822" t="s">
        <v>984</v>
      </c>
      <c r="F37" s="736">
        <f t="shared" si="0"/>
        <v>0</v>
      </c>
      <c r="G37" s="737">
        <f t="shared" si="1"/>
        <v>0</v>
      </c>
      <c r="H37" s="705">
        <v>0</v>
      </c>
      <c r="I37" s="706">
        <v>0</v>
      </c>
      <c r="J37" s="706">
        <v>0</v>
      </c>
      <c r="K37" s="707">
        <v>0</v>
      </c>
      <c r="L37" s="737">
        <f t="shared" si="2"/>
        <v>0</v>
      </c>
      <c r="M37" s="705">
        <v>0</v>
      </c>
      <c r="N37" s="706">
        <v>0</v>
      </c>
      <c r="O37" s="707">
        <v>0</v>
      </c>
      <c r="P37" s="718"/>
      <c r="Q37" s="719"/>
    </row>
    <row r="38" spans="1:17" s="748" customFormat="1" ht="12">
      <c r="A38" s="839">
        <f t="shared" si="3"/>
        <v>32</v>
      </c>
      <c r="B38" s="585" t="s">
        <v>952</v>
      </c>
      <c r="C38" s="811" t="s">
        <v>951</v>
      </c>
      <c r="D38" s="735" t="s">
        <v>884</v>
      </c>
      <c r="E38" s="822" t="s">
        <v>844</v>
      </c>
      <c r="F38" s="736">
        <f t="shared" si="0"/>
        <v>0</v>
      </c>
      <c r="G38" s="737">
        <f t="shared" si="1"/>
        <v>0</v>
      </c>
      <c r="H38" s="705">
        <v>0</v>
      </c>
      <c r="I38" s="706">
        <v>0</v>
      </c>
      <c r="J38" s="706">
        <v>0</v>
      </c>
      <c r="K38" s="707">
        <v>0</v>
      </c>
      <c r="L38" s="737">
        <f t="shared" si="2"/>
        <v>0</v>
      </c>
      <c r="M38" s="705">
        <v>0</v>
      </c>
      <c r="N38" s="706">
        <v>0</v>
      </c>
      <c r="O38" s="707">
        <v>0</v>
      </c>
      <c r="P38" s="718"/>
      <c r="Q38" s="719"/>
    </row>
    <row r="39" spans="1:17" s="748" customFormat="1" ht="12">
      <c r="A39" s="839">
        <f t="shared" si="3"/>
        <v>33</v>
      </c>
      <c r="B39" s="585" t="s">
        <v>952</v>
      </c>
      <c r="C39" s="811" t="s">
        <v>951</v>
      </c>
      <c r="D39" s="735" t="s">
        <v>891</v>
      </c>
      <c r="E39" s="822" t="s">
        <v>849</v>
      </c>
      <c r="F39" s="736">
        <f>+G39+L39</f>
        <v>0</v>
      </c>
      <c r="G39" s="737">
        <f>+H39+I39+J39+K39</f>
        <v>0</v>
      </c>
      <c r="H39" s="705">
        <v>0</v>
      </c>
      <c r="I39" s="706">
        <v>0</v>
      </c>
      <c r="J39" s="706">
        <v>0</v>
      </c>
      <c r="K39" s="707">
        <v>0</v>
      </c>
      <c r="L39" s="737">
        <f>+M39+N39+O39</f>
        <v>0</v>
      </c>
      <c r="M39" s="705">
        <v>0</v>
      </c>
      <c r="N39" s="706">
        <v>0</v>
      </c>
      <c r="O39" s="707">
        <v>0</v>
      </c>
      <c r="P39" s="718"/>
      <c r="Q39" s="719"/>
    </row>
    <row r="40" spans="1:17" s="748" customFormat="1" ht="12">
      <c r="A40" s="839">
        <f t="shared" si="3"/>
        <v>34</v>
      </c>
      <c r="B40" s="585" t="s">
        <v>953</v>
      </c>
      <c r="C40" s="811" t="s">
        <v>926</v>
      </c>
      <c r="D40" s="735" t="s">
        <v>884</v>
      </c>
      <c r="E40" s="822" t="s">
        <v>844</v>
      </c>
      <c r="F40" s="736">
        <f>+G40+L40</f>
        <v>0</v>
      </c>
      <c r="G40" s="737">
        <f>+H40+I40+J40+K40</f>
        <v>0</v>
      </c>
      <c r="H40" s="705">
        <v>0</v>
      </c>
      <c r="I40" s="706">
        <v>0</v>
      </c>
      <c r="J40" s="706">
        <v>0</v>
      </c>
      <c r="K40" s="707">
        <v>0</v>
      </c>
      <c r="L40" s="737">
        <f>+M40+N40+O40</f>
        <v>0</v>
      </c>
      <c r="M40" s="705">
        <v>0</v>
      </c>
      <c r="N40" s="706">
        <v>0</v>
      </c>
      <c r="O40" s="707">
        <v>0</v>
      </c>
      <c r="P40" s="718"/>
      <c r="Q40" s="719"/>
    </row>
    <row r="41" spans="1:17" s="748" customFormat="1" ht="12">
      <c r="A41" s="839">
        <f t="shared" si="3"/>
        <v>35</v>
      </c>
      <c r="B41" s="478" t="s">
        <v>947</v>
      </c>
      <c r="C41" s="812" t="s">
        <v>948</v>
      </c>
      <c r="D41" s="735" t="s">
        <v>882</v>
      </c>
      <c r="E41" s="826" t="s">
        <v>842</v>
      </c>
      <c r="F41" s="736">
        <f t="shared" si="0"/>
        <v>0</v>
      </c>
      <c r="G41" s="737">
        <f t="shared" si="1"/>
        <v>0</v>
      </c>
      <c r="H41" s="705">
        <v>0</v>
      </c>
      <c r="I41" s="706">
        <v>0</v>
      </c>
      <c r="J41" s="706">
        <v>0</v>
      </c>
      <c r="K41" s="707">
        <v>0</v>
      </c>
      <c r="L41" s="737">
        <f t="shared" si="2"/>
        <v>0</v>
      </c>
      <c r="M41" s="705">
        <v>0</v>
      </c>
      <c r="N41" s="706">
        <v>0</v>
      </c>
      <c r="O41" s="707">
        <v>0</v>
      </c>
      <c r="P41" s="718"/>
      <c r="Q41" s="719"/>
    </row>
    <row r="42" spans="1:17" s="748" customFormat="1" ht="12">
      <c r="A42" s="839">
        <f t="shared" si="3"/>
        <v>36</v>
      </c>
      <c r="B42" s="478" t="s">
        <v>955</v>
      </c>
      <c r="C42" s="812" t="s">
        <v>954</v>
      </c>
      <c r="D42" s="735" t="s">
        <v>885</v>
      </c>
      <c r="E42" s="826" t="s">
        <v>845</v>
      </c>
      <c r="F42" s="736">
        <f t="shared" si="0"/>
        <v>0</v>
      </c>
      <c r="G42" s="737">
        <f t="shared" si="1"/>
        <v>0</v>
      </c>
      <c r="H42" s="705">
        <v>0</v>
      </c>
      <c r="I42" s="706">
        <v>0</v>
      </c>
      <c r="J42" s="706">
        <v>0</v>
      </c>
      <c r="K42" s="707">
        <v>0</v>
      </c>
      <c r="L42" s="737">
        <f t="shared" si="2"/>
        <v>0</v>
      </c>
      <c r="M42" s="705">
        <v>0</v>
      </c>
      <c r="N42" s="706">
        <v>0</v>
      </c>
      <c r="O42" s="707">
        <v>0</v>
      </c>
      <c r="P42" s="718"/>
      <c r="Q42" s="719"/>
    </row>
    <row r="43" spans="1:17" s="748" customFormat="1" ht="12">
      <c r="A43" s="839">
        <f t="shared" si="3"/>
        <v>37</v>
      </c>
      <c r="B43" s="478" t="s">
        <v>955</v>
      </c>
      <c r="C43" s="812" t="s">
        <v>954</v>
      </c>
      <c r="D43" s="735" t="s">
        <v>886</v>
      </c>
      <c r="E43" s="826" t="s">
        <v>846</v>
      </c>
      <c r="F43" s="736">
        <f t="shared" si="0"/>
        <v>225</v>
      </c>
      <c r="G43" s="737">
        <f t="shared" si="1"/>
        <v>225</v>
      </c>
      <c r="H43" s="705">
        <v>225</v>
      </c>
      <c r="I43" s="706">
        <v>0</v>
      </c>
      <c r="J43" s="706">
        <v>0</v>
      </c>
      <c r="K43" s="707">
        <v>0</v>
      </c>
      <c r="L43" s="737">
        <f t="shared" si="2"/>
        <v>0</v>
      </c>
      <c r="M43" s="705">
        <v>0</v>
      </c>
      <c r="N43" s="706">
        <v>0</v>
      </c>
      <c r="O43" s="707">
        <v>0</v>
      </c>
      <c r="P43" s="718"/>
      <c r="Q43" s="719"/>
    </row>
    <row r="44" spans="1:17" ht="12">
      <c r="A44" s="839">
        <f t="shared" si="3"/>
        <v>38</v>
      </c>
      <c r="B44" s="478" t="s">
        <v>955</v>
      </c>
      <c r="C44" s="812" t="s">
        <v>954</v>
      </c>
      <c r="D44" s="749" t="s">
        <v>887</v>
      </c>
      <c r="E44" s="826" t="s">
        <v>847</v>
      </c>
      <c r="F44" s="736">
        <f t="shared" si="0"/>
        <v>2000</v>
      </c>
      <c r="G44" s="737">
        <f t="shared" si="1"/>
        <v>2000</v>
      </c>
      <c r="H44" s="705">
        <v>2000</v>
      </c>
      <c r="I44" s="706">
        <v>0</v>
      </c>
      <c r="J44" s="706">
        <v>0</v>
      </c>
      <c r="K44" s="707">
        <v>0</v>
      </c>
      <c r="L44" s="737">
        <f t="shared" si="2"/>
        <v>0</v>
      </c>
      <c r="M44" s="705">
        <v>0</v>
      </c>
      <c r="N44" s="706">
        <v>0</v>
      </c>
      <c r="O44" s="707">
        <v>0</v>
      </c>
      <c r="P44" s="718"/>
      <c r="Q44" s="719"/>
    </row>
    <row r="45" spans="1:17" ht="12">
      <c r="A45" s="839">
        <f t="shared" si="3"/>
        <v>39</v>
      </c>
      <c r="B45" s="478" t="s">
        <v>955</v>
      </c>
      <c r="C45" s="812" t="s">
        <v>954</v>
      </c>
      <c r="D45" s="735" t="s">
        <v>889</v>
      </c>
      <c r="E45" s="826" t="s">
        <v>848</v>
      </c>
      <c r="F45" s="736">
        <f t="shared" si="0"/>
        <v>0</v>
      </c>
      <c r="G45" s="737">
        <f t="shared" si="1"/>
        <v>0</v>
      </c>
      <c r="H45" s="705">
        <v>0</v>
      </c>
      <c r="I45" s="706">
        <v>0</v>
      </c>
      <c r="J45" s="706">
        <v>0</v>
      </c>
      <c r="K45" s="707">
        <v>0</v>
      </c>
      <c r="L45" s="737">
        <f t="shared" si="2"/>
        <v>0</v>
      </c>
      <c r="M45" s="705">
        <v>0</v>
      </c>
      <c r="N45" s="706">
        <v>0</v>
      </c>
      <c r="O45" s="707">
        <v>0</v>
      </c>
      <c r="P45" s="718"/>
      <c r="Q45" s="719"/>
    </row>
    <row r="46" spans="1:17" ht="12">
      <c r="A46" s="839">
        <f t="shared" si="3"/>
        <v>40</v>
      </c>
      <c r="B46" s="478" t="s">
        <v>955</v>
      </c>
      <c r="C46" s="812" t="s">
        <v>954</v>
      </c>
      <c r="D46" s="735" t="s">
        <v>893</v>
      </c>
      <c r="E46" s="826" t="s">
        <v>851</v>
      </c>
      <c r="F46" s="736">
        <f t="shared" si="0"/>
        <v>0</v>
      </c>
      <c r="G46" s="737">
        <f t="shared" si="1"/>
        <v>0</v>
      </c>
      <c r="H46" s="705">
        <v>0</v>
      </c>
      <c r="I46" s="706">
        <v>0</v>
      </c>
      <c r="J46" s="706">
        <v>0</v>
      </c>
      <c r="K46" s="707">
        <v>0</v>
      </c>
      <c r="L46" s="737">
        <f t="shared" si="2"/>
        <v>0</v>
      </c>
      <c r="M46" s="705">
        <v>0</v>
      </c>
      <c r="N46" s="706">
        <v>0</v>
      </c>
      <c r="O46" s="707">
        <v>0</v>
      </c>
      <c r="P46" s="718"/>
      <c r="Q46" s="719"/>
    </row>
    <row r="47" spans="1:17" ht="12">
      <c r="A47" s="839">
        <f t="shared" si="3"/>
        <v>41</v>
      </c>
      <c r="B47" s="478" t="s">
        <v>945</v>
      </c>
      <c r="C47" s="812" t="s">
        <v>946</v>
      </c>
      <c r="D47" s="735" t="s">
        <v>881</v>
      </c>
      <c r="E47" s="826" t="s">
        <v>944</v>
      </c>
      <c r="F47" s="736">
        <f t="shared" si="0"/>
        <v>171000</v>
      </c>
      <c r="G47" s="737">
        <f t="shared" si="1"/>
        <v>171000</v>
      </c>
      <c r="H47" s="705">
        <v>171000</v>
      </c>
      <c r="I47" s="706">
        <v>0</v>
      </c>
      <c r="J47" s="706">
        <v>0</v>
      </c>
      <c r="K47" s="707">
        <v>0</v>
      </c>
      <c r="L47" s="737">
        <f t="shared" si="2"/>
        <v>0</v>
      </c>
      <c r="M47" s="705">
        <v>0</v>
      </c>
      <c r="N47" s="706">
        <v>0</v>
      </c>
      <c r="O47" s="707">
        <v>0</v>
      </c>
      <c r="P47" s="718"/>
      <c r="Q47" s="719"/>
    </row>
    <row r="48" spans="1:17" ht="12">
      <c r="A48" s="839">
        <f t="shared" si="3"/>
        <v>42</v>
      </c>
      <c r="B48" s="478" t="s">
        <v>949</v>
      </c>
      <c r="C48" s="812" t="s">
        <v>950</v>
      </c>
      <c r="D48" s="735" t="s">
        <v>883</v>
      </c>
      <c r="E48" s="826" t="s">
        <v>843</v>
      </c>
      <c r="F48" s="736">
        <f t="shared" si="0"/>
        <v>38700</v>
      </c>
      <c r="G48" s="737">
        <f t="shared" si="1"/>
        <v>38700</v>
      </c>
      <c r="H48" s="705">
        <v>38700</v>
      </c>
      <c r="I48" s="706">
        <v>0</v>
      </c>
      <c r="J48" s="706">
        <v>0</v>
      </c>
      <c r="K48" s="707">
        <v>0</v>
      </c>
      <c r="L48" s="737">
        <f t="shared" si="2"/>
        <v>0</v>
      </c>
      <c r="M48" s="705">
        <v>0</v>
      </c>
      <c r="N48" s="706">
        <v>0</v>
      </c>
      <c r="O48" s="707">
        <v>0</v>
      </c>
      <c r="P48" s="718"/>
      <c r="Q48" s="719"/>
    </row>
    <row r="49" spans="1:17" ht="12">
      <c r="A49" s="839">
        <f t="shared" si="3"/>
        <v>43</v>
      </c>
      <c r="B49" s="475" t="s">
        <v>956</v>
      </c>
      <c r="C49" s="814" t="s">
        <v>957</v>
      </c>
      <c r="D49" s="743" t="s">
        <v>888</v>
      </c>
      <c r="E49" s="827" t="s">
        <v>1393</v>
      </c>
      <c r="F49" s="744">
        <f t="shared" si="0"/>
        <v>0</v>
      </c>
      <c r="G49" s="745">
        <f t="shared" si="1"/>
        <v>0</v>
      </c>
      <c r="H49" s="705">
        <v>0</v>
      </c>
      <c r="I49" s="706">
        <v>0</v>
      </c>
      <c r="J49" s="706">
        <v>0</v>
      </c>
      <c r="K49" s="707">
        <v>0</v>
      </c>
      <c r="L49" s="745">
        <f t="shared" si="2"/>
        <v>0</v>
      </c>
      <c r="M49" s="705">
        <v>0</v>
      </c>
      <c r="N49" s="706">
        <v>0</v>
      </c>
      <c r="O49" s="707">
        <v>0</v>
      </c>
      <c r="P49" s="718"/>
      <c r="Q49" s="719"/>
    </row>
    <row r="50" spans="1:17" ht="12">
      <c r="A50" s="839">
        <f t="shared" si="3"/>
        <v>44</v>
      </c>
      <c r="B50" s="475" t="s">
        <v>956</v>
      </c>
      <c r="C50" s="814" t="s">
        <v>965</v>
      </c>
      <c r="D50" s="743" t="s">
        <v>892</v>
      </c>
      <c r="E50" s="827" t="s">
        <v>850</v>
      </c>
      <c r="F50" s="744">
        <f t="shared" si="0"/>
        <v>0</v>
      </c>
      <c r="G50" s="745">
        <f t="shared" si="1"/>
        <v>0</v>
      </c>
      <c r="H50" s="705">
        <v>0</v>
      </c>
      <c r="I50" s="706">
        <v>0</v>
      </c>
      <c r="J50" s="706">
        <v>0</v>
      </c>
      <c r="K50" s="707">
        <v>0</v>
      </c>
      <c r="L50" s="745">
        <f t="shared" si="2"/>
        <v>0</v>
      </c>
      <c r="M50" s="705">
        <v>0</v>
      </c>
      <c r="N50" s="706">
        <v>0</v>
      </c>
      <c r="O50" s="707">
        <v>0</v>
      </c>
      <c r="P50" s="718"/>
      <c r="Q50" s="719"/>
    </row>
    <row r="51" spans="1:17" ht="12">
      <c r="A51" s="839">
        <f t="shared" si="3"/>
        <v>45</v>
      </c>
      <c r="B51" s="478" t="s">
        <v>938</v>
      </c>
      <c r="C51" s="812" t="s">
        <v>937</v>
      </c>
      <c r="D51" s="735" t="s">
        <v>879</v>
      </c>
      <c r="E51" s="826" t="s">
        <v>840</v>
      </c>
      <c r="F51" s="736">
        <f t="shared" si="0"/>
        <v>0</v>
      </c>
      <c r="G51" s="737">
        <f t="shared" si="1"/>
        <v>0</v>
      </c>
      <c r="H51" s="705">
        <v>0</v>
      </c>
      <c r="I51" s="706">
        <v>0</v>
      </c>
      <c r="J51" s="706">
        <v>0</v>
      </c>
      <c r="K51" s="707">
        <v>0</v>
      </c>
      <c r="L51" s="737">
        <f t="shared" si="2"/>
        <v>0</v>
      </c>
      <c r="M51" s="705">
        <v>0</v>
      </c>
      <c r="N51" s="706">
        <v>0</v>
      </c>
      <c r="O51" s="707">
        <v>0</v>
      </c>
      <c r="P51" s="718"/>
      <c r="Q51" s="718"/>
    </row>
    <row r="52" spans="1:17" ht="12.75" thickBot="1">
      <c r="A52" s="839">
        <f t="shared" si="3"/>
        <v>46</v>
      </c>
      <c r="B52" s="585" t="s">
        <v>38</v>
      </c>
      <c r="C52" s="811" t="s">
        <v>961</v>
      </c>
      <c r="D52" s="723" t="s">
        <v>1006</v>
      </c>
      <c r="E52" s="828" t="s">
        <v>1301</v>
      </c>
      <c r="F52" s="710">
        <f t="shared" si="0"/>
        <v>0</v>
      </c>
      <c r="G52" s="711">
        <f t="shared" si="1"/>
        <v>0</v>
      </c>
      <c r="H52" s="705">
        <v>0</v>
      </c>
      <c r="I52" s="706">
        <v>0</v>
      </c>
      <c r="J52" s="706">
        <v>0</v>
      </c>
      <c r="K52" s="707">
        <v>0</v>
      </c>
      <c r="L52" s="711">
        <f t="shared" si="2"/>
        <v>0</v>
      </c>
      <c r="M52" s="705">
        <v>0</v>
      </c>
      <c r="N52" s="706">
        <v>0</v>
      </c>
      <c r="O52" s="707">
        <v>0</v>
      </c>
      <c r="P52" s="718"/>
      <c r="Q52" s="719"/>
    </row>
    <row r="53" spans="1:17" s="716" customFormat="1" ht="12.75" thickBot="1">
      <c r="A53" s="829" t="s">
        <v>765</v>
      </c>
      <c r="B53" s="1266" t="s">
        <v>482</v>
      </c>
      <c r="C53" s="1267"/>
      <c r="D53" s="1267"/>
      <c r="E53" s="1268"/>
      <c r="F53" s="753">
        <f>SUM(F7:F52)</f>
        <v>1517805</v>
      </c>
      <c r="G53" s="570">
        <f aca="true" t="shared" si="4" ref="G53:O53">SUM(G7:G52)</f>
        <v>1494449</v>
      </c>
      <c r="H53" s="754">
        <f t="shared" si="4"/>
        <v>1124387</v>
      </c>
      <c r="I53" s="486">
        <f t="shared" si="4"/>
        <v>290150</v>
      </c>
      <c r="J53" s="486">
        <f t="shared" si="4"/>
        <v>25750</v>
      </c>
      <c r="K53" s="472">
        <f t="shared" si="4"/>
        <v>54162</v>
      </c>
      <c r="L53" s="570">
        <f t="shared" si="4"/>
        <v>23356</v>
      </c>
      <c r="M53" s="754">
        <f t="shared" si="4"/>
        <v>23356</v>
      </c>
      <c r="N53" s="486">
        <f t="shared" si="4"/>
        <v>0</v>
      </c>
      <c r="O53" s="472">
        <f t="shared" si="4"/>
        <v>0</v>
      </c>
      <c r="P53" s="719"/>
      <c r="Q53" s="719"/>
    </row>
    <row r="54" spans="1:17" ht="12">
      <c r="A54" s="839">
        <f>+A52+1</f>
        <v>47</v>
      </c>
      <c r="B54" s="585" t="s">
        <v>1022</v>
      </c>
      <c r="C54" s="811" t="s">
        <v>1023</v>
      </c>
      <c r="D54" s="723" t="s">
        <v>901</v>
      </c>
      <c r="E54" s="828" t="s">
        <v>859</v>
      </c>
      <c r="F54" s="710">
        <f>+G54+L54</f>
        <v>0</v>
      </c>
      <c r="G54" s="711">
        <f>+H54+I54+J54+K54</f>
        <v>0</v>
      </c>
      <c r="H54" s="705">
        <v>0</v>
      </c>
      <c r="I54" s="706">
        <v>0</v>
      </c>
      <c r="J54" s="706">
        <v>0</v>
      </c>
      <c r="K54" s="707">
        <v>0</v>
      </c>
      <c r="L54" s="711">
        <f>+M54+N54+O54</f>
        <v>0</v>
      </c>
      <c r="M54" s="705">
        <v>0</v>
      </c>
      <c r="N54" s="706">
        <v>0</v>
      </c>
      <c r="O54" s="707">
        <v>0</v>
      </c>
      <c r="P54" s="718"/>
      <c r="Q54" s="719"/>
    </row>
    <row r="55" spans="1:17" ht="12">
      <c r="A55" s="840">
        <f>+A54+1</f>
        <v>48</v>
      </c>
      <c r="B55" s="585" t="s">
        <v>1026</v>
      </c>
      <c r="C55" s="811" t="s">
        <v>1027</v>
      </c>
      <c r="D55" s="723" t="s">
        <v>915</v>
      </c>
      <c r="E55" s="750" t="s">
        <v>872</v>
      </c>
      <c r="F55" s="710">
        <f aca="true" t="shared" si="5" ref="F55:F66">+G55+L55</f>
        <v>3000</v>
      </c>
      <c r="G55" s="711">
        <f aca="true" t="shared" si="6" ref="G55:G66">+H55+I55+J55+K55</f>
        <v>0</v>
      </c>
      <c r="H55" s="705">
        <v>0</v>
      </c>
      <c r="I55" s="706">
        <v>0</v>
      </c>
      <c r="J55" s="706">
        <v>0</v>
      </c>
      <c r="K55" s="707">
        <v>0</v>
      </c>
      <c r="L55" s="711">
        <f aca="true" t="shared" si="7" ref="L55:L66">+M55+N55+O55</f>
        <v>3000</v>
      </c>
      <c r="M55" s="705">
        <v>0</v>
      </c>
      <c r="N55" s="706">
        <v>300</v>
      </c>
      <c r="O55" s="707">
        <v>2700</v>
      </c>
      <c r="P55" s="718"/>
      <c r="Q55" s="719"/>
    </row>
    <row r="56" spans="1:17" ht="12">
      <c r="A56" s="840">
        <f aca="true" t="shared" si="8" ref="A56:A66">+A55+1</f>
        <v>49</v>
      </c>
      <c r="B56" s="478" t="s">
        <v>978</v>
      </c>
      <c r="C56" s="812" t="s">
        <v>856</v>
      </c>
      <c r="D56" s="735" t="s">
        <v>898</v>
      </c>
      <c r="E56" s="741" t="s">
        <v>1058</v>
      </c>
      <c r="F56" s="736">
        <f t="shared" si="5"/>
        <v>7110</v>
      </c>
      <c r="G56" s="737">
        <f t="shared" si="6"/>
        <v>7110</v>
      </c>
      <c r="H56" s="705">
        <v>1800</v>
      </c>
      <c r="I56" s="724">
        <v>5310</v>
      </c>
      <c r="J56" s="724">
        <v>0</v>
      </c>
      <c r="K56" s="725">
        <v>0</v>
      </c>
      <c r="L56" s="737">
        <f t="shared" si="7"/>
        <v>0</v>
      </c>
      <c r="M56" s="726">
        <v>0</v>
      </c>
      <c r="N56" s="724">
        <v>0</v>
      </c>
      <c r="O56" s="725">
        <v>0</v>
      </c>
      <c r="P56" s="718"/>
      <c r="Q56" s="719"/>
    </row>
    <row r="57" spans="1:17" ht="12">
      <c r="A57" s="840">
        <f t="shared" si="8"/>
        <v>50</v>
      </c>
      <c r="B57" s="585" t="s">
        <v>1024</v>
      </c>
      <c r="C57" s="811" t="s">
        <v>1025</v>
      </c>
      <c r="D57" s="735" t="s">
        <v>914</v>
      </c>
      <c r="E57" s="740" t="s">
        <v>871</v>
      </c>
      <c r="F57" s="736">
        <f t="shared" si="5"/>
        <v>0</v>
      </c>
      <c r="G57" s="737">
        <f t="shared" si="6"/>
        <v>0</v>
      </c>
      <c r="H57" s="705">
        <v>0</v>
      </c>
      <c r="I57" s="724">
        <v>0</v>
      </c>
      <c r="J57" s="724">
        <v>0</v>
      </c>
      <c r="K57" s="725">
        <v>0</v>
      </c>
      <c r="L57" s="737">
        <f t="shared" si="7"/>
        <v>0</v>
      </c>
      <c r="M57" s="726">
        <v>0</v>
      </c>
      <c r="N57" s="724">
        <v>0</v>
      </c>
      <c r="O57" s="725">
        <v>0</v>
      </c>
      <c r="P57" s="718"/>
      <c r="Q57" s="719"/>
    </row>
    <row r="58" spans="1:17" ht="12">
      <c r="A58" s="840">
        <f t="shared" si="8"/>
        <v>51</v>
      </c>
      <c r="B58" s="478" t="s">
        <v>1029</v>
      </c>
      <c r="C58" s="812" t="s">
        <v>1028</v>
      </c>
      <c r="D58" s="735" t="s">
        <v>916</v>
      </c>
      <c r="E58" s="740" t="s">
        <v>930</v>
      </c>
      <c r="F58" s="736">
        <f t="shared" si="5"/>
        <v>0</v>
      </c>
      <c r="G58" s="737">
        <f t="shared" si="6"/>
        <v>0</v>
      </c>
      <c r="H58" s="705">
        <v>0</v>
      </c>
      <c r="I58" s="724">
        <v>0</v>
      </c>
      <c r="J58" s="724">
        <v>0</v>
      </c>
      <c r="K58" s="725">
        <v>0</v>
      </c>
      <c r="L58" s="737">
        <f t="shared" si="7"/>
        <v>0</v>
      </c>
      <c r="M58" s="726">
        <v>0</v>
      </c>
      <c r="N58" s="724">
        <v>0</v>
      </c>
      <c r="O58" s="725">
        <v>0</v>
      </c>
      <c r="P58" s="718"/>
      <c r="Q58" s="719"/>
    </row>
    <row r="59" spans="1:17" ht="12">
      <c r="A59" s="840">
        <f t="shared" si="8"/>
        <v>52</v>
      </c>
      <c r="B59" s="600" t="s">
        <v>963</v>
      </c>
      <c r="C59" s="813" t="s">
        <v>964</v>
      </c>
      <c r="D59" s="743" t="s">
        <v>913</v>
      </c>
      <c r="E59" s="742" t="s">
        <v>962</v>
      </c>
      <c r="F59" s="744">
        <f t="shared" si="5"/>
        <v>0</v>
      </c>
      <c r="G59" s="745">
        <f t="shared" si="6"/>
        <v>0</v>
      </c>
      <c r="H59" s="705">
        <v>0</v>
      </c>
      <c r="I59" s="746">
        <v>0</v>
      </c>
      <c r="J59" s="746">
        <v>0</v>
      </c>
      <c r="K59" s="573">
        <v>0</v>
      </c>
      <c r="L59" s="745">
        <f t="shared" si="7"/>
        <v>0</v>
      </c>
      <c r="M59" s="747">
        <v>0</v>
      </c>
      <c r="N59" s="746">
        <v>0</v>
      </c>
      <c r="O59" s="573">
        <v>0</v>
      </c>
      <c r="P59" s="718"/>
      <c r="Q59" s="719"/>
    </row>
    <row r="60" spans="1:17" s="748" customFormat="1" ht="12">
      <c r="A60" s="840">
        <f t="shared" si="8"/>
        <v>53</v>
      </c>
      <c r="B60" s="478" t="s">
        <v>952</v>
      </c>
      <c r="C60" s="812" t="s">
        <v>951</v>
      </c>
      <c r="D60" s="735" t="s">
        <v>910</v>
      </c>
      <c r="E60" s="741" t="s">
        <v>868</v>
      </c>
      <c r="F60" s="736">
        <f t="shared" si="5"/>
        <v>0</v>
      </c>
      <c r="G60" s="737">
        <f t="shared" si="6"/>
        <v>0</v>
      </c>
      <c r="H60" s="705">
        <v>0</v>
      </c>
      <c r="I60" s="724">
        <v>0</v>
      </c>
      <c r="J60" s="724">
        <v>0</v>
      </c>
      <c r="K60" s="725">
        <v>0</v>
      </c>
      <c r="L60" s="737">
        <f t="shared" si="7"/>
        <v>0</v>
      </c>
      <c r="M60" s="726">
        <v>0</v>
      </c>
      <c r="N60" s="724">
        <v>0</v>
      </c>
      <c r="O60" s="725">
        <v>0</v>
      </c>
      <c r="P60" s="718"/>
      <c r="Q60" s="719"/>
    </row>
    <row r="61" spans="1:17" s="748" customFormat="1" ht="12">
      <c r="A61" s="840">
        <f t="shared" si="8"/>
        <v>54</v>
      </c>
      <c r="B61" s="585" t="s">
        <v>953</v>
      </c>
      <c r="C61" s="811" t="s">
        <v>926</v>
      </c>
      <c r="D61" s="735" t="s">
        <v>910</v>
      </c>
      <c r="E61" s="741" t="s">
        <v>868</v>
      </c>
      <c r="F61" s="736">
        <f t="shared" si="5"/>
        <v>0</v>
      </c>
      <c r="G61" s="737">
        <f t="shared" si="6"/>
        <v>0</v>
      </c>
      <c r="H61" s="705">
        <v>0</v>
      </c>
      <c r="I61" s="724">
        <v>0</v>
      </c>
      <c r="J61" s="724">
        <v>0</v>
      </c>
      <c r="K61" s="725">
        <v>0</v>
      </c>
      <c r="L61" s="737">
        <f t="shared" si="7"/>
        <v>0</v>
      </c>
      <c r="M61" s="726">
        <v>0</v>
      </c>
      <c r="N61" s="724">
        <v>0</v>
      </c>
      <c r="O61" s="725">
        <v>0</v>
      </c>
      <c r="P61" s="718"/>
      <c r="Q61" s="719"/>
    </row>
    <row r="62" spans="1:17" ht="12">
      <c r="A62" s="840">
        <f t="shared" si="8"/>
        <v>55</v>
      </c>
      <c r="B62" s="478" t="s">
        <v>959</v>
      </c>
      <c r="C62" s="812" t="s">
        <v>958</v>
      </c>
      <c r="D62" s="735" t="s">
        <v>912</v>
      </c>
      <c r="E62" s="740" t="s">
        <v>870</v>
      </c>
      <c r="F62" s="736">
        <f t="shared" si="5"/>
        <v>0</v>
      </c>
      <c r="G62" s="737">
        <f t="shared" si="6"/>
        <v>0</v>
      </c>
      <c r="H62" s="705">
        <v>0</v>
      </c>
      <c r="I62" s="724">
        <v>0</v>
      </c>
      <c r="J62" s="724">
        <v>0</v>
      </c>
      <c r="K62" s="725">
        <v>0</v>
      </c>
      <c r="L62" s="737">
        <f t="shared" si="7"/>
        <v>0</v>
      </c>
      <c r="M62" s="726">
        <v>0</v>
      </c>
      <c r="N62" s="724">
        <v>0</v>
      </c>
      <c r="O62" s="725">
        <v>0</v>
      </c>
      <c r="P62" s="718"/>
      <c r="Q62" s="719"/>
    </row>
    <row r="63" spans="1:17" ht="12">
      <c r="A63" s="840">
        <f t="shared" si="8"/>
        <v>56</v>
      </c>
      <c r="B63" s="585" t="s">
        <v>949</v>
      </c>
      <c r="C63" s="811" t="s">
        <v>950</v>
      </c>
      <c r="D63" s="735" t="s">
        <v>909</v>
      </c>
      <c r="E63" s="741" t="s">
        <v>867</v>
      </c>
      <c r="F63" s="736">
        <f t="shared" si="5"/>
        <v>0</v>
      </c>
      <c r="G63" s="737">
        <f t="shared" si="6"/>
        <v>0</v>
      </c>
      <c r="H63" s="705">
        <v>0</v>
      </c>
      <c r="I63" s="724">
        <v>0</v>
      </c>
      <c r="J63" s="724">
        <v>0</v>
      </c>
      <c r="K63" s="725">
        <v>0</v>
      </c>
      <c r="L63" s="737">
        <f t="shared" si="7"/>
        <v>0</v>
      </c>
      <c r="M63" s="726">
        <v>0</v>
      </c>
      <c r="N63" s="724">
        <v>0</v>
      </c>
      <c r="O63" s="725">
        <v>0</v>
      </c>
      <c r="P63" s="718"/>
      <c r="Q63" s="719"/>
    </row>
    <row r="64" spans="1:17" ht="12">
      <c r="A64" s="840">
        <f t="shared" si="8"/>
        <v>57</v>
      </c>
      <c r="B64" s="478" t="s">
        <v>949</v>
      </c>
      <c r="C64" s="812" t="s">
        <v>950</v>
      </c>
      <c r="D64" s="735" t="s">
        <v>911</v>
      </c>
      <c r="E64" s="741" t="s">
        <v>869</v>
      </c>
      <c r="F64" s="736">
        <f t="shared" si="5"/>
        <v>0</v>
      </c>
      <c r="G64" s="737">
        <f t="shared" si="6"/>
        <v>0</v>
      </c>
      <c r="H64" s="705">
        <v>0</v>
      </c>
      <c r="I64" s="724">
        <v>0</v>
      </c>
      <c r="J64" s="724">
        <v>0</v>
      </c>
      <c r="K64" s="725">
        <v>0</v>
      </c>
      <c r="L64" s="737">
        <f t="shared" si="7"/>
        <v>0</v>
      </c>
      <c r="M64" s="726">
        <v>0</v>
      </c>
      <c r="N64" s="724">
        <v>0</v>
      </c>
      <c r="O64" s="725">
        <v>0</v>
      </c>
      <c r="P64" s="718"/>
      <c r="Q64" s="719"/>
    </row>
    <row r="65" spans="1:17" ht="12">
      <c r="A65" s="840">
        <f t="shared" si="8"/>
        <v>58</v>
      </c>
      <c r="B65" s="585" t="s">
        <v>38</v>
      </c>
      <c r="C65" s="811" t="s">
        <v>1020</v>
      </c>
      <c r="D65" s="735" t="s">
        <v>1021</v>
      </c>
      <c r="E65" s="740" t="s">
        <v>866</v>
      </c>
      <c r="F65" s="736">
        <f t="shared" si="5"/>
        <v>0</v>
      </c>
      <c r="G65" s="737">
        <f t="shared" si="6"/>
        <v>0</v>
      </c>
      <c r="H65" s="705">
        <v>0</v>
      </c>
      <c r="I65" s="724">
        <v>0</v>
      </c>
      <c r="J65" s="706">
        <v>0</v>
      </c>
      <c r="K65" s="725">
        <v>0</v>
      </c>
      <c r="L65" s="737">
        <f t="shared" si="7"/>
        <v>0</v>
      </c>
      <c r="M65" s="726">
        <v>0</v>
      </c>
      <c r="N65" s="706">
        <v>0</v>
      </c>
      <c r="O65" s="725">
        <v>0</v>
      </c>
      <c r="P65" s="718"/>
      <c r="Q65" s="719"/>
    </row>
    <row r="66" spans="1:17" ht="12.75" thickBot="1">
      <c r="A66" s="840">
        <f t="shared" si="8"/>
        <v>59</v>
      </c>
      <c r="B66" s="478" t="s">
        <v>38</v>
      </c>
      <c r="C66" s="812" t="s">
        <v>961</v>
      </c>
      <c r="D66" s="735" t="s">
        <v>890</v>
      </c>
      <c r="E66" s="740" t="s">
        <v>960</v>
      </c>
      <c r="F66" s="736">
        <f t="shared" si="5"/>
        <v>0</v>
      </c>
      <c r="G66" s="737">
        <f t="shared" si="6"/>
        <v>0</v>
      </c>
      <c r="H66" s="705">
        <v>0</v>
      </c>
      <c r="I66" s="724">
        <v>0</v>
      </c>
      <c r="J66" s="724">
        <v>0</v>
      </c>
      <c r="K66" s="725">
        <v>0</v>
      </c>
      <c r="L66" s="737">
        <f t="shared" si="7"/>
        <v>0</v>
      </c>
      <c r="M66" s="726">
        <v>0</v>
      </c>
      <c r="N66" s="724">
        <v>0</v>
      </c>
      <c r="O66" s="725">
        <v>0</v>
      </c>
      <c r="P66" s="718"/>
      <c r="Q66" s="719"/>
    </row>
    <row r="67" spans="1:17" s="716" customFormat="1" ht="12.75" thickBot="1">
      <c r="A67" s="829" t="s">
        <v>766</v>
      </c>
      <c r="B67" s="1266" t="s">
        <v>483</v>
      </c>
      <c r="C67" s="1267"/>
      <c r="D67" s="1267"/>
      <c r="E67" s="1268"/>
      <c r="F67" s="753">
        <f>SUM(F54:F66)</f>
        <v>10110</v>
      </c>
      <c r="G67" s="570">
        <f aca="true" t="shared" si="9" ref="G67:O67">SUM(G54:G66)</f>
        <v>7110</v>
      </c>
      <c r="H67" s="754">
        <f t="shared" si="9"/>
        <v>1800</v>
      </c>
      <c r="I67" s="486">
        <f t="shared" si="9"/>
        <v>5310</v>
      </c>
      <c r="J67" s="486">
        <f t="shared" si="9"/>
        <v>0</v>
      </c>
      <c r="K67" s="472">
        <f t="shared" si="9"/>
        <v>0</v>
      </c>
      <c r="L67" s="570">
        <f t="shared" si="9"/>
        <v>3000</v>
      </c>
      <c r="M67" s="754">
        <f t="shared" si="9"/>
        <v>0</v>
      </c>
      <c r="N67" s="486">
        <f t="shared" si="9"/>
        <v>300</v>
      </c>
      <c r="O67" s="472">
        <f t="shared" si="9"/>
        <v>2700</v>
      </c>
      <c r="P67" s="719"/>
      <c r="Q67" s="719"/>
    </row>
    <row r="68" spans="1:17" s="720" customFormat="1" ht="24">
      <c r="A68" s="839">
        <f>+A66+1</f>
        <v>60</v>
      </c>
      <c r="B68" s="478" t="s">
        <v>1033</v>
      </c>
      <c r="C68" s="812" t="s">
        <v>1032</v>
      </c>
      <c r="D68" s="723" t="s">
        <v>918</v>
      </c>
      <c r="E68" s="722" t="s">
        <v>874</v>
      </c>
      <c r="F68" s="710">
        <f>+G68+L68</f>
        <v>0</v>
      </c>
      <c r="G68" s="711">
        <f>+H68+I68+J68+K68</f>
        <v>0</v>
      </c>
      <c r="H68" s="705">
        <v>0</v>
      </c>
      <c r="I68" s="724">
        <v>0</v>
      </c>
      <c r="J68" s="724">
        <v>0</v>
      </c>
      <c r="K68" s="725">
        <v>0</v>
      </c>
      <c r="L68" s="711">
        <f>+M68+N68+O68</f>
        <v>0</v>
      </c>
      <c r="M68" s="726">
        <v>0</v>
      </c>
      <c r="N68" s="724">
        <v>0</v>
      </c>
      <c r="O68" s="725">
        <v>0</v>
      </c>
      <c r="P68" s="718"/>
      <c r="Q68" s="719"/>
    </row>
    <row r="69" spans="1:17" s="720" customFormat="1" ht="24">
      <c r="A69" s="839">
        <f>+A68+1</f>
        <v>61</v>
      </c>
      <c r="B69" s="478" t="s">
        <v>1033</v>
      </c>
      <c r="C69" s="812" t="s">
        <v>1032</v>
      </c>
      <c r="D69" s="723" t="s">
        <v>919</v>
      </c>
      <c r="E69" s="734" t="s">
        <v>875</v>
      </c>
      <c r="F69" s="710">
        <f>+G69+L69</f>
        <v>0</v>
      </c>
      <c r="G69" s="711">
        <f>+H69+I69+J69+K69</f>
        <v>0</v>
      </c>
      <c r="H69" s="705">
        <v>0</v>
      </c>
      <c r="I69" s="724">
        <v>0</v>
      </c>
      <c r="J69" s="724">
        <v>0</v>
      </c>
      <c r="K69" s="725">
        <v>0</v>
      </c>
      <c r="L69" s="711">
        <f>+M69+N69+O69</f>
        <v>0</v>
      </c>
      <c r="M69" s="726">
        <v>0</v>
      </c>
      <c r="N69" s="724">
        <v>0</v>
      </c>
      <c r="O69" s="725">
        <v>0</v>
      </c>
      <c r="P69" s="718"/>
      <c r="Q69" s="719"/>
    </row>
    <row r="70" spans="1:17" s="720" customFormat="1" ht="24">
      <c r="A70" s="839">
        <f>+A69+1</f>
        <v>62</v>
      </c>
      <c r="B70" s="478" t="s">
        <v>1033</v>
      </c>
      <c r="C70" s="812" t="s">
        <v>1032</v>
      </c>
      <c r="D70" s="723" t="s">
        <v>920</v>
      </c>
      <c r="E70" s="722" t="s">
        <v>1030</v>
      </c>
      <c r="F70" s="710">
        <f>+G70+L70</f>
        <v>0</v>
      </c>
      <c r="G70" s="711">
        <f>+H70+I70+J70+K70</f>
        <v>0</v>
      </c>
      <c r="H70" s="705">
        <v>0</v>
      </c>
      <c r="I70" s="724">
        <v>0</v>
      </c>
      <c r="J70" s="724">
        <v>0</v>
      </c>
      <c r="K70" s="725">
        <v>0</v>
      </c>
      <c r="L70" s="711">
        <f>+M70+N70+O70</f>
        <v>0</v>
      </c>
      <c r="M70" s="726">
        <v>0</v>
      </c>
      <c r="N70" s="724">
        <v>0</v>
      </c>
      <c r="O70" s="725">
        <v>0</v>
      </c>
      <c r="P70" s="718"/>
      <c r="Q70" s="719"/>
    </row>
    <row r="71" spans="1:17" ht="24.75" thickBot="1">
      <c r="A71" s="839">
        <f>+A70+1</f>
        <v>63</v>
      </c>
      <c r="B71" s="585" t="s">
        <v>1033</v>
      </c>
      <c r="C71" s="811" t="s">
        <v>1032</v>
      </c>
      <c r="D71" s="723" t="s">
        <v>921</v>
      </c>
      <c r="E71" s="755" t="s">
        <v>1031</v>
      </c>
      <c r="F71" s="710">
        <f>+G71+L71</f>
        <v>0</v>
      </c>
      <c r="G71" s="711">
        <f>+H71+I71+J71+K71</f>
        <v>0</v>
      </c>
      <c r="H71" s="705">
        <v>0</v>
      </c>
      <c r="I71" s="706">
        <v>0</v>
      </c>
      <c r="J71" s="706">
        <v>0</v>
      </c>
      <c r="K71" s="707">
        <v>0</v>
      </c>
      <c r="L71" s="711">
        <f>+M71+N71+O71</f>
        <v>0</v>
      </c>
      <c r="M71" s="705">
        <v>0</v>
      </c>
      <c r="N71" s="706">
        <v>0</v>
      </c>
      <c r="O71" s="707">
        <v>0</v>
      </c>
      <c r="P71" s="718"/>
      <c r="Q71" s="719"/>
    </row>
    <row r="72" spans="1:17" s="716" customFormat="1" ht="12.75" thickBot="1">
      <c r="A72" s="829" t="s">
        <v>767</v>
      </c>
      <c r="B72" s="1266" t="s">
        <v>484</v>
      </c>
      <c r="C72" s="1267"/>
      <c r="D72" s="1267"/>
      <c r="E72" s="1268"/>
      <c r="F72" s="753">
        <f aca="true" t="shared" si="10" ref="F72:O72">SUM(F68:F71)</f>
        <v>0</v>
      </c>
      <c r="G72" s="570">
        <f t="shared" si="10"/>
        <v>0</v>
      </c>
      <c r="H72" s="754">
        <f t="shared" si="10"/>
        <v>0</v>
      </c>
      <c r="I72" s="486">
        <f t="shared" si="10"/>
        <v>0</v>
      </c>
      <c r="J72" s="486">
        <f t="shared" si="10"/>
        <v>0</v>
      </c>
      <c r="K72" s="472">
        <f t="shared" si="10"/>
        <v>0</v>
      </c>
      <c r="L72" s="570">
        <f t="shared" si="10"/>
        <v>0</v>
      </c>
      <c r="M72" s="754">
        <f t="shared" si="10"/>
        <v>0</v>
      </c>
      <c r="N72" s="486">
        <f t="shared" si="10"/>
        <v>0</v>
      </c>
      <c r="O72" s="472">
        <f t="shared" si="10"/>
        <v>0</v>
      </c>
      <c r="P72" s="719"/>
      <c r="Q72" s="719"/>
    </row>
    <row r="73" spans="1:17" s="716" customFormat="1" ht="12.75" thickBot="1">
      <c r="A73" s="830" t="s">
        <v>42</v>
      </c>
      <c r="B73" s="1269" t="s">
        <v>485</v>
      </c>
      <c r="C73" s="1270"/>
      <c r="D73" s="1270"/>
      <c r="E73" s="1271"/>
      <c r="F73" s="757">
        <f aca="true" t="shared" si="11" ref="F73:O73">+F53+F67+F72</f>
        <v>1527915</v>
      </c>
      <c r="G73" s="757">
        <f t="shared" si="11"/>
        <v>1501559</v>
      </c>
      <c r="H73" s="758">
        <f t="shared" si="11"/>
        <v>1126187</v>
      </c>
      <c r="I73" s="759">
        <f t="shared" si="11"/>
        <v>295460</v>
      </c>
      <c r="J73" s="759">
        <f t="shared" si="11"/>
        <v>25750</v>
      </c>
      <c r="K73" s="760">
        <f t="shared" si="11"/>
        <v>54162</v>
      </c>
      <c r="L73" s="757">
        <f t="shared" si="11"/>
        <v>26356</v>
      </c>
      <c r="M73" s="758">
        <f t="shared" si="11"/>
        <v>23356</v>
      </c>
      <c r="N73" s="759">
        <f t="shared" si="11"/>
        <v>300</v>
      </c>
      <c r="O73" s="760">
        <f t="shared" si="11"/>
        <v>2700</v>
      </c>
      <c r="P73" s="761"/>
      <c r="Q73" s="719"/>
    </row>
    <row r="74" spans="1:17" ht="12.75" thickBot="1">
      <c r="A74" s="841"/>
      <c r="B74" s="848"/>
      <c r="C74" s="815"/>
      <c r="D74" s="763"/>
      <c r="E74" s="762"/>
      <c r="F74" s="764"/>
      <c r="G74" s="765"/>
      <c r="H74" s="766"/>
      <c r="I74" s="767"/>
      <c r="J74" s="767"/>
      <c r="K74" s="768"/>
      <c r="L74" s="765"/>
      <c r="M74" s="766"/>
      <c r="N74" s="767"/>
      <c r="O74" s="768"/>
      <c r="P74" s="761"/>
      <c r="Q74" s="719"/>
    </row>
    <row r="75" spans="1:17" s="748" customFormat="1" ht="12">
      <c r="A75" s="842">
        <f>+A71+1</f>
        <v>64</v>
      </c>
      <c r="B75" s="480" t="s">
        <v>934</v>
      </c>
      <c r="C75" s="816" t="s">
        <v>933</v>
      </c>
      <c r="D75" s="770" t="s">
        <v>922</v>
      </c>
      <c r="E75" s="769" t="s">
        <v>486</v>
      </c>
      <c r="F75" s="708">
        <f>+G75+L75</f>
        <v>0</v>
      </c>
      <c r="G75" s="709">
        <f>+H75+I75+J75+K75</f>
        <v>0</v>
      </c>
      <c r="H75" s="702">
        <v>0</v>
      </c>
      <c r="I75" s="703">
        <v>0</v>
      </c>
      <c r="J75" s="703">
        <v>0</v>
      </c>
      <c r="K75" s="704">
        <v>0</v>
      </c>
      <c r="L75" s="709">
        <f>+M75+N75+O75</f>
        <v>0</v>
      </c>
      <c r="M75" s="702">
        <v>0</v>
      </c>
      <c r="N75" s="703">
        <v>0</v>
      </c>
      <c r="O75" s="704">
        <v>0</v>
      </c>
      <c r="P75" s="718"/>
      <c r="Q75" s="718"/>
    </row>
    <row r="76" spans="1:17" s="720" customFormat="1" ht="12">
      <c r="A76" s="839">
        <f>+A75+1</f>
        <v>65</v>
      </c>
      <c r="B76" s="478" t="s">
        <v>934</v>
      </c>
      <c r="C76" s="812" t="s">
        <v>933</v>
      </c>
      <c r="D76" s="723" t="s">
        <v>923</v>
      </c>
      <c r="E76" s="722" t="s">
        <v>932</v>
      </c>
      <c r="F76" s="710">
        <f>+G76+L76</f>
        <v>2840</v>
      </c>
      <c r="G76" s="711">
        <f>+H76+I76+J76+K76</f>
        <v>2840</v>
      </c>
      <c r="H76" s="726">
        <v>0</v>
      </c>
      <c r="I76" s="724">
        <v>0</v>
      </c>
      <c r="J76" s="724">
        <v>2840</v>
      </c>
      <c r="K76" s="725">
        <v>0</v>
      </c>
      <c r="L76" s="711">
        <f>+M76+N76+O76</f>
        <v>0</v>
      </c>
      <c r="M76" s="726">
        <v>0</v>
      </c>
      <c r="N76" s="724">
        <v>0</v>
      </c>
      <c r="O76" s="725">
        <v>0</v>
      </c>
      <c r="P76" s="718"/>
      <c r="Q76" s="719"/>
    </row>
    <row r="77" spans="1:17" s="720" customFormat="1" ht="24">
      <c r="A77" s="839">
        <f>+A76+1</f>
        <v>66</v>
      </c>
      <c r="B77" s="478" t="s">
        <v>934</v>
      </c>
      <c r="C77" s="812" t="s">
        <v>933</v>
      </c>
      <c r="D77" s="723" t="s">
        <v>923</v>
      </c>
      <c r="E77" s="722" t="s">
        <v>1073</v>
      </c>
      <c r="F77" s="710">
        <f>+G77+L77</f>
        <v>0</v>
      </c>
      <c r="G77" s="711">
        <f>+H77+I77+J77+K77</f>
        <v>0</v>
      </c>
      <c r="H77" s="726">
        <v>0</v>
      </c>
      <c r="I77" s="724">
        <v>0</v>
      </c>
      <c r="J77" s="724">
        <v>0</v>
      </c>
      <c r="K77" s="725">
        <v>0</v>
      </c>
      <c r="L77" s="711">
        <f>+M77+N77+O77</f>
        <v>0</v>
      </c>
      <c r="M77" s="726">
        <v>0</v>
      </c>
      <c r="N77" s="724">
        <v>0</v>
      </c>
      <c r="O77" s="725">
        <v>0</v>
      </c>
      <c r="P77" s="718"/>
      <c r="Q77" s="719"/>
    </row>
    <row r="78" spans="1:17" ht="12.75" thickBot="1">
      <c r="A78" s="839">
        <f>+A77+1</f>
        <v>67</v>
      </c>
      <c r="B78" s="478" t="s">
        <v>980</v>
      </c>
      <c r="C78" s="812" t="s">
        <v>979</v>
      </c>
      <c r="D78" s="735" t="s">
        <v>1034</v>
      </c>
      <c r="E78" s="741" t="s">
        <v>487</v>
      </c>
      <c r="F78" s="736">
        <f>+G78+L78</f>
        <v>8609</v>
      </c>
      <c r="G78" s="737">
        <f>+H78+I78+J78+K78</f>
        <v>8609</v>
      </c>
      <c r="H78" s="726">
        <v>0</v>
      </c>
      <c r="I78" s="724">
        <v>0</v>
      </c>
      <c r="J78" s="724">
        <v>8609</v>
      </c>
      <c r="K78" s="725">
        <v>0</v>
      </c>
      <c r="L78" s="737">
        <f>+M78+N78+O78</f>
        <v>0</v>
      </c>
      <c r="M78" s="726">
        <v>0</v>
      </c>
      <c r="N78" s="724">
        <v>0</v>
      </c>
      <c r="O78" s="725">
        <v>0</v>
      </c>
      <c r="P78" s="718"/>
      <c r="Q78" s="719"/>
    </row>
    <row r="79" spans="1:17" s="716" customFormat="1" ht="12.75" thickBot="1">
      <c r="A79" s="829" t="s">
        <v>775</v>
      </c>
      <c r="B79" s="1266" t="s">
        <v>502</v>
      </c>
      <c r="C79" s="1267"/>
      <c r="D79" s="1267"/>
      <c r="E79" s="1268"/>
      <c r="F79" s="753">
        <f>SUM(F75:F78)</f>
        <v>11449</v>
      </c>
      <c r="G79" s="570">
        <f aca="true" t="shared" si="12" ref="G79:O79">SUM(G75:G78)</f>
        <v>11449</v>
      </c>
      <c r="H79" s="754">
        <f t="shared" si="12"/>
        <v>0</v>
      </c>
      <c r="I79" s="486">
        <f t="shared" si="12"/>
        <v>0</v>
      </c>
      <c r="J79" s="486">
        <f t="shared" si="12"/>
        <v>11449</v>
      </c>
      <c r="K79" s="472">
        <f t="shared" si="12"/>
        <v>0</v>
      </c>
      <c r="L79" s="570">
        <f t="shared" si="12"/>
        <v>0</v>
      </c>
      <c r="M79" s="754">
        <f t="shared" si="12"/>
        <v>0</v>
      </c>
      <c r="N79" s="486">
        <f t="shared" si="12"/>
        <v>0</v>
      </c>
      <c r="O79" s="472">
        <f t="shared" si="12"/>
        <v>0</v>
      </c>
      <c r="P79" s="719"/>
      <c r="Q79" s="719"/>
    </row>
    <row r="80" spans="1:17" s="748" customFormat="1" ht="12">
      <c r="A80" s="839">
        <f>+A78+1</f>
        <v>68</v>
      </c>
      <c r="B80" s="478" t="s">
        <v>1026</v>
      </c>
      <c r="C80" s="812" t="s">
        <v>1027</v>
      </c>
      <c r="D80" s="735" t="s">
        <v>924</v>
      </c>
      <c r="E80" s="741" t="s">
        <v>876</v>
      </c>
      <c r="F80" s="736">
        <f>+G80+L80</f>
        <v>0</v>
      </c>
      <c r="G80" s="737">
        <f>+H80+I80+J80+K80</f>
        <v>0</v>
      </c>
      <c r="H80" s="726">
        <v>0</v>
      </c>
      <c r="I80" s="724">
        <v>0</v>
      </c>
      <c r="J80" s="724">
        <v>0</v>
      </c>
      <c r="K80" s="725">
        <v>0</v>
      </c>
      <c r="L80" s="737">
        <f>+M80+N80+O80</f>
        <v>0</v>
      </c>
      <c r="M80" s="726">
        <v>0</v>
      </c>
      <c r="N80" s="724">
        <v>0</v>
      </c>
      <c r="O80" s="725">
        <v>0</v>
      </c>
      <c r="P80" s="718"/>
      <c r="Q80" s="719"/>
    </row>
    <row r="81" spans="1:17" s="748" customFormat="1" ht="12.75" thickBot="1">
      <c r="A81" s="839">
        <f>+A80+1</f>
        <v>69</v>
      </c>
      <c r="B81" s="478" t="s">
        <v>38</v>
      </c>
      <c r="C81" s="812" t="s">
        <v>1035</v>
      </c>
      <c r="D81" s="735" t="s">
        <v>1036</v>
      </c>
      <c r="E81" s="741" t="s">
        <v>488</v>
      </c>
      <c r="F81" s="736">
        <f>+G81+L81</f>
        <v>24254</v>
      </c>
      <c r="G81" s="737">
        <f>+H81+I81+J81+K81</f>
        <v>24254</v>
      </c>
      <c r="H81" s="726">
        <v>0</v>
      </c>
      <c r="I81" s="724">
        <v>0</v>
      </c>
      <c r="J81" s="724">
        <v>24254</v>
      </c>
      <c r="K81" s="725">
        <v>0</v>
      </c>
      <c r="L81" s="737">
        <f>+M81+N81+O81</f>
        <v>0</v>
      </c>
      <c r="M81" s="726">
        <v>0</v>
      </c>
      <c r="N81" s="724">
        <v>0</v>
      </c>
      <c r="O81" s="725">
        <v>0</v>
      </c>
      <c r="P81" s="718"/>
      <c r="Q81" s="719"/>
    </row>
    <row r="82" spans="1:17" s="716" customFormat="1" ht="12.75" thickBot="1">
      <c r="A82" s="829" t="s">
        <v>837</v>
      </c>
      <c r="B82" s="1266" t="s">
        <v>503</v>
      </c>
      <c r="C82" s="1267"/>
      <c r="D82" s="1267"/>
      <c r="E82" s="1268"/>
      <c r="F82" s="753">
        <f>SUM(F80:F81)</f>
        <v>24254</v>
      </c>
      <c r="G82" s="570">
        <f aca="true" t="shared" si="13" ref="G82:O82">SUM(G80:G81)</f>
        <v>24254</v>
      </c>
      <c r="H82" s="754">
        <f t="shared" si="13"/>
        <v>0</v>
      </c>
      <c r="I82" s="486">
        <f t="shared" si="13"/>
        <v>0</v>
      </c>
      <c r="J82" s="486">
        <f t="shared" si="13"/>
        <v>24254</v>
      </c>
      <c r="K82" s="472">
        <f t="shared" si="13"/>
        <v>0</v>
      </c>
      <c r="L82" s="570">
        <f t="shared" si="13"/>
        <v>0</v>
      </c>
      <c r="M82" s="754">
        <f t="shared" si="13"/>
        <v>0</v>
      </c>
      <c r="N82" s="486">
        <f t="shared" si="13"/>
        <v>0</v>
      </c>
      <c r="O82" s="472">
        <f t="shared" si="13"/>
        <v>0</v>
      </c>
      <c r="P82" s="719"/>
      <c r="Q82" s="719"/>
    </row>
    <row r="83" spans="1:17" ht="12.75" thickBot="1">
      <c r="A83" s="840">
        <f>+A81+1</f>
        <v>70</v>
      </c>
      <c r="B83" s="585" t="s">
        <v>38</v>
      </c>
      <c r="C83" s="811" t="s">
        <v>38</v>
      </c>
      <c r="D83" s="723" t="s">
        <v>38</v>
      </c>
      <c r="E83" s="755" t="s">
        <v>1074</v>
      </c>
      <c r="F83" s="710">
        <f>+G83+L83</f>
        <v>0</v>
      </c>
      <c r="G83" s="711">
        <f>+H83+I83+J83+K83</f>
        <v>0</v>
      </c>
      <c r="H83" s="705">
        <v>0</v>
      </c>
      <c r="I83" s="706">
        <v>0</v>
      </c>
      <c r="J83" s="706">
        <v>0</v>
      </c>
      <c r="K83" s="707">
        <v>0</v>
      </c>
      <c r="L83" s="711">
        <f>+M83+N83+O83</f>
        <v>0</v>
      </c>
      <c r="M83" s="705">
        <v>0</v>
      </c>
      <c r="N83" s="706">
        <v>0</v>
      </c>
      <c r="O83" s="707">
        <v>0</v>
      </c>
      <c r="P83" s="718"/>
      <c r="Q83" s="719"/>
    </row>
    <row r="84" spans="1:17" s="716" customFormat="1" ht="12.75" thickBot="1">
      <c r="A84" s="829" t="s">
        <v>1043</v>
      </c>
      <c r="B84" s="1266" t="s">
        <v>504</v>
      </c>
      <c r="C84" s="1267"/>
      <c r="D84" s="1267"/>
      <c r="E84" s="1268"/>
      <c r="F84" s="753">
        <f aca="true" t="shared" si="14" ref="F84:O84">SUM(F83:F83)</f>
        <v>0</v>
      </c>
      <c r="G84" s="570">
        <f t="shared" si="14"/>
        <v>0</v>
      </c>
      <c r="H84" s="754">
        <f t="shared" si="14"/>
        <v>0</v>
      </c>
      <c r="I84" s="486">
        <f t="shared" si="14"/>
        <v>0</v>
      </c>
      <c r="J84" s="486">
        <f t="shared" si="14"/>
        <v>0</v>
      </c>
      <c r="K84" s="472">
        <f t="shared" si="14"/>
        <v>0</v>
      </c>
      <c r="L84" s="570">
        <f t="shared" si="14"/>
        <v>0</v>
      </c>
      <c r="M84" s="754">
        <f t="shared" si="14"/>
        <v>0</v>
      </c>
      <c r="N84" s="486">
        <f t="shared" si="14"/>
        <v>0</v>
      </c>
      <c r="O84" s="472">
        <f t="shared" si="14"/>
        <v>0</v>
      </c>
      <c r="P84" s="719"/>
      <c r="Q84" s="719"/>
    </row>
    <row r="85" spans="1:17" s="716" customFormat="1" ht="12.75" thickBot="1">
      <c r="A85" s="830" t="s">
        <v>41</v>
      </c>
      <c r="B85" s="1269" t="s">
        <v>505</v>
      </c>
      <c r="C85" s="1270"/>
      <c r="D85" s="1270"/>
      <c r="E85" s="1271"/>
      <c r="F85" s="757">
        <f aca="true" t="shared" si="15" ref="F85:O85">+F79+F82+F84</f>
        <v>35703</v>
      </c>
      <c r="G85" s="771">
        <f t="shared" si="15"/>
        <v>35703</v>
      </c>
      <c r="H85" s="758">
        <f t="shared" si="15"/>
        <v>0</v>
      </c>
      <c r="I85" s="759">
        <f t="shared" si="15"/>
        <v>0</v>
      </c>
      <c r="J85" s="759">
        <f t="shared" si="15"/>
        <v>35703</v>
      </c>
      <c r="K85" s="760">
        <f t="shared" si="15"/>
        <v>0</v>
      </c>
      <c r="L85" s="771">
        <f t="shared" si="15"/>
        <v>0</v>
      </c>
      <c r="M85" s="758">
        <f t="shared" si="15"/>
        <v>0</v>
      </c>
      <c r="N85" s="759">
        <f t="shared" si="15"/>
        <v>0</v>
      </c>
      <c r="O85" s="760">
        <f t="shared" si="15"/>
        <v>0</v>
      </c>
      <c r="P85" s="761"/>
      <c r="Q85" s="719"/>
    </row>
    <row r="86" spans="1:17" s="716" customFormat="1" ht="12.75" thickBot="1">
      <c r="A86" s="829"/>
      <c r="B86" s="473"/>
      <c r="C86" s="817"/>
      <c r="D86" s="752"/>
      <c r="E86" s="751"/>
      <c r="F86" s="753"/>
      <c r="G86" s="570"/>
      <c r="H86" s="754"/>
      <c r="I86" s="486"/>
      <c r="J86" s="486"/>
      <c r="K86" s="472"/>
      <c r="L86" s="570"/>
      <c r="M86" s="754"/>
      <c r="N86" s="486"/>
      <c r="O86" s="472"/>
      <c r="P86" s="719"/>
      <c r="Q86" s="719"/>
    </row>
    <row r="87" spans="1:17" s="716" customFormat="1" ht="12">
      <c r="A87" s="831" t="s">
        <v>1044</v>
      </c>
      <c r="B87" s="1263" t="s">
        <v>489</v>
      </c>
      <c r="C87" s="1264"/>
      <c r="D87" s="1264"/>
      <c r="E87" s="1265"/>
      <c r="F87" s="708">
        <f>+G87+L87</f>
        <v>29549</v>
      </c>
      <c r="G87" s="709">
        <f>+H87+I87+J87+K87</f>
        <v>29549</v>
      </c>
      <c r="H87" s="772">
        <v>0</v>
      </c>
      <c r="I87" s="773">
        <v>0</v>
      </c>
      <c r="J87" s="773">
        <v>29549</v>
      </c>
      <c r="K87" s="774">
        <v>0</v>
      </c>
      <c r="L87" s="708">
        <f>+M87+N87+O87</f>
        <v>0</v>
      </c>
      <c r="M87" s="772">
        <v>0</v>
      </c>
      <c r="N87" s="773">
        <v>0</v>
      </c>
      <c r="O87" s="774">
        <v>0</v>
      </c>
      <c r="P87" s="719"/>
      <c r="Q87" s="719"/>
    </row>
    <row r="88" spans="1:17" s="716" customFormat="1" ht="12">
      <c r="A88" s="833" t="s">
        <v>1045</v>
      </c>
      <c r="B88" s="1254" t="s">
        <v>490</v>
      </c>
      <c r="C88" s="1255"/>
      <c r="D88" s="1255"/>
      <c r="E88" s="1256"/>
      <c r="F88" s="710">
        <f>+G88+L88</f>
        <v>0</v>
      </c>
      <c r="G88" s="710">
        <f>+H88+I88+J88+K88</f>
        <v>0</v>
      </c>
      <c r="H88" s="834">
        <v>0</v>
      </c>
      <c r="I88" s="835">
        <v>0</v>
      </c>
      <c r="J88" s="835">
        <v>0</v>
      </c>
      <c r="K88" s="836">
        <v>0</v>
      </c>
      <c r="L88" s="736">
        <f>+M88+N88+O88</f>
        <v>0</v>
      </c>
      <c r="M88" s="834">
        <v>0</v>
      </c>
      <c r="N88" s="835">
        <v>0</v>
      </c>
      <c r="O88" s="836">
        <v>0</v>
      </c>
      <c r="P88" s="719"/>
      <c r="Q88" s="719"/>
    </row>
    <row r="89" spans="1:17" s="716" customFormat="1" ht="12.75" thickBot="1">
      <c r="A89" s="832" t="s">
        <v>1046</v>
      </c>
      <c r="B89" s="1257" t="s">
        <v>1071</v>
      </c>
      <c r="C89" s="1258"/>
      <c r="D89" s="1258"/>
      <c r="E89" s="1259"/>
      <c r="F89" s="710">
        <f>+G89+L89</f>
        <v>0</v>
      </c>
      <c r="G89" s="711">
        <f>+H89+I89+J89+K89</f>
        <v>0</v>
      </c>
      <c r="H89" s="779">
        <v>0</v>
      </c>
      <c r="I89" s="780">
        <v>0</v>
      </c>
      <c r="J89" s="780">
        <v>0</v>
      </c>
      <c r="K89" s="781">
        <v>0</v>
      </c>
      <c r="L89" s="711">
        <f>+M89+N89+O89</f>
        <v>0</v>
      </c>
      <c r="M89" s="779">
        <v>0</v>
      </c>
      <c r="N89" s="780">
        <v>0</v>
      </c>
      <c r="O89" s="781">
        <v>0</v>
      </c>
      <c r="P89" s="719"/>
      <c r="Q89" s="719"/>
    </row>
    <row r="90" spans="1:17" s="716" customFormat="1" ht="12.75" thickBot="1">
      <c r="A90" s="830" t="s">
        <v>40</v>
      </c>
      <c r="B90" s="1260" t="s">
        <v>1048</v>
      </c>
      <c r="C90" s="1261"/>
      <c r="D90" s="1261"/>
      <c r="E90" s="1262"/>
      <c r="F90" s="757">
        <f>SUM(F87:F89)</f>
        <v>29549</v>
      </c>
      <c r="G90" s="760">
        <f aca="true" t="shared" si="16" ref="G90:O90">SUM(G87:G89)</f>
        <v>29549</v>
      </c>
      <c r="H90" s="783">
        <f t="shared" si="16"/>
        <v>0</v>
      </c>
      <c r="I90" s="784">
        <f t="shared" si="16"/>
        <v>0</v>
      </c>
      <c r="J90" s="784">
        <f t="shared" si="16"/>
        <v>29549</v>
      </c>
      <c r="K90" s="785">
        <f t="shared" si="16"/>
        <v>0</v>
      </c>
      <c r="L90" s="760">
        <f t="shared" si="16"/>
        <v>0</v>
      </c>
      <c r="M90" s="783">
        <f t="shared" si="16"/>
        <v>0</v>
      </c>
      <c r="N90" s="784">
        <f t="shared" si="16"/>
        <v>0</v>
      </c>
      <c r="O90" s="785">
        <f t="shared" si="16"/>
        <v>0</v>
      </c>
      <c r="P90" s="719"/>
      <c r="Q90" s="719"/>
    </row>
    <row r="91" spans="1:17" s="716" customFormat="1" ht="12.75" thickBot="1">
      <c r="A91" s="829"/>
      <c r="B91" s="473"/>
      <c r="C91" s="817"/>
      <c r="D91" s="752"/>
      <c r="E91" s="751"/>
      <c r="F91" s="753"/>
      <c r="G91" s="570"/>
      <c r="H91" s="754"/>
      <c r="I91" s="486"/>
      <c r="J91" s="486"/>
      <c r="K91" s="472"/>
      <c r="L91" s="570"/>
      <c r="M91" s="754"/>
      <c r="N91" s="486"/>
      <c r="O91" s="472"/>
      <c r="P91" s="719"/>
      <c r="Q91" s="719"/>
    </row>
    <row r="92" spans="1:17" s="716" customFormat="1" ht="12">
      <c r="A92" s="831" t="s">
        <v>1047</v>
      </c>
      <c r="B92" s="1263" t="s">
        <v>492</v>
      </c>
      <c r="C92" s="1264"/>
      <c r="D92" s="1264"/>
      <c r="E92" s="1265"/>
      <c r="F92" s="708">
        <f>+G92+L92</f>
        <v>3700</v>
      </c>
      <c r="G92" s="709">
        <f>+H92+I92+J92+K92</f>
        <v>3700</v>
      </c>
      <c r="H92" s="772">
        <v>250</v>
      </c>
      <c r="I92" s="773">
        <v>0</v>
      </c>
      <c r="J92" s="773">
        <v>3450</v>
      </c>
      <c r="K92" s="774">
        <v>0</v>
      </c>
      <c r="L92" s="708">
        <f>+M92+N92+O92</f>
        <v>0</v>
      </c>
      <c r="M92" s="772">
        <v>0</v>
      </c>
      <c r="N92" s="773">
        <v>0</v>
      </c>
      <c r="O92" s="774">
        <v>0</v>
      </c>
      <c r="P92" s="719"/>
      <c r="Q92" s="719"/>
    </row>
    <row r="93" spans="1:17" s="716" customFormat="1" ht="12">
      <c r="A93" s="833" t="s">
        <v>838</v>
      </c>
      <c r="B93" s="1254" t="s">
        <v>1050</v>
      </c>
      <c r="C93" s="1255"/>
      <c r="D93" s="1255"/>
      <c r="E93" s="1256"/>
      <c r="F93" s="736">
        <f>+G93+L93</f>
        <v>0</v>
      </c>
      <c r="G93" s="737">
        <f>+H93+I93+J93+K93</f>
        <v>0</v>
      </c>
      <c r="H93" s="834">
        <v>0</v>
      </c>
      <c r="I93" s="835">
        <v>0</v>
      </c>
      <c r="J93" s="835">
        <v>0</v>
      </c>
      <c r="K93" s="836">
        <v>0</v>
      </c>
      <c r="L93" s="736">
        <f>+M93+N93+O93</f>
        <v>0</v>
      </c>
      <c r="M93" s="834">
        <v>0</v>
      </c>
      <c r="N93" s="835">
        <v>0</v>
      </c>
      <c r="O93" s="836">
        <v>0</v>
      </c>
      <c r="P93" s="719"/>
      <c r="Q93" s="719"/>
    </row>
    <row r="94" spans="1:17" s="716" customFormat="1" ht="12.75" thickBot="1">
      <c r="A94" s="832" t="s">
        <v>1049</v>
      </c>
      <c r="B94" s="1257" t="s">
        <v>1072</v>
      </c>
      <c r="C94" s="1258"/>
      <c r="D94" s="1258"/>
      <c r="E94" s="1259"/>
      <c r="F94" s="710">
        <f>+G94+L94</f>
        <v>0</v>
      </c>
      <c r="G94" s="711">
        <f>+H94+I94+J94+K94</f>
        <v>0</v>
      </c>
      <c r="H94" s="779">
        <v>0</v>
      </c>
      <c r="I94" s="780">
        <v>0</v>
      </c>
      <c r="J94" s="780">
        <v>0</v>
      </c>
      <c r="K94" s="781">
        <v>0</v>
      </c>
      <c r="L94" s="711">
        <f>+M94+N94+O94</f>
        <v>0</v>
      </c>
      <c r="M94" s="779">
        <v>0</v>
      </c>
      <c r="N94" s="780">
        <v>0</v>
      </c>
      <c r="O94" s="781">
        <v>0</v>
      </c>
      <c r="P94" s="719"/>
      <c r="Q94" s="719"/>
    </row>
    <row r="95" spans="1:17" s="716" customFormat="1" ht="12.75" thickBot="1">
      <c r="A95" s="830" t="s">
        <v>39</v>
      </c>
      <c r="B95" s="1260" t="s">
        <v>1051</v>
      </c>
      <c r="C95" s="1261"/>
      <c r="D95" s="1261"/>
      <c r="E95" s="1262"/>
      <c r="F95" s="757">
        <f>SUM(F92:F94)</f>
        <v>3700</v>
      </c>
      <c r="G95" s="760">
        <f aca="true" t="shared" si="17" ref="G95:O95">SUM(G92:G94)</f>
        <v>3700</v>
      </c>
      <c r="H95" s="783">
        <f t="shared" si="17"/>
        <v>250</v>
      </c>
      <c r="I95" s="784">
        <f t="shared" si="17"/>
        <v>0</v>
      </c>
      <c r="J95" s="784">
        <f t="shared" si="17"/>
        <v>3450</v>
      </c>
      <c r="K95" s="785">
        <f t="shared" si="17"/>
        <v>0</v>
      </c>
      <c r="L95" s="760">
        <f t="shared" si="17"/>
        <v>0</v>
      </c>
      <c r="M95" s="783">
        <f t="shared" si="17"/>
        <v>0</v>
      </c>
      <c r="N95" s="784">
        <f t="shared" si="17"/>
        <v>0</v>
      </c>
      <c r="O95" s="785">
        <f t="shared" si="17"/>
        <v>0</v>
      </c>
      <c r="P95" s="719"/>
      <c r="Q95" s="719"/>
    </row>
    <row r="96" spans="1:17" ht="12.75" thickBot="1">
      <c r="A96" s="843"/>
      <c r="B96" s="600"/>
      <c r="C96" s="813"/>
      <c r="D96" s="787"/>
      <c r="E96" s="786"/>
      <c r="F96" s="788"/>
      <c r="G96" s="578"/>
      <c r="H96" s="739"/>
      <c r="I96" s="738"/>
      <c r="J96" s="738"/>
      <c r="K96" s="602"/>
      <c r="L96" s="578"/>
      <c r="M96" s="739"/>
      <c r="N96" s="738"/>
      <c r="O96" s="602"/>
      <c r="P96" s="718"/>
      <c r="Q96" s="719"/>
    </row>
    <row r="97" spans="1:17" ht="12.75" thickBot="1">
      <c r="A97" s="830" t="s">
        <v>693</v>
      </c>
      <c r="B97" s="1260" t="s">
        <v>1052</v>
      </c>
      <c r="C97" s="1261"/>
      <c r="D97" s="1261"/>
      <c r="E97" s="1262"/>
      <c r="F97" s="789">
        <f aca="true" t="shared" si="18" ref="F97:O97">+F73+F85+F90+F95</f>
        <v>1596867</v>
      </c>
      <c r="G97" s="790">
        <f t="shared" si="18"/>
        <v>1570511</v>
      </c>
      <c r="H97" s="791">
        <f t="shared" si="18"/>
        <v>1126437</v>
      </c>
      <c r="I97" s="792">
        <f t="shared" si="18"/>
        <v>295460</v>
      </c>
      <c r="J97" s="792">
        <f t="shared" si="18"/>
        <v>94452</v>
      </c>
      <c r="K97" s="790">
        <f t="shared" si="18"/>
        <v>54162</v>
      </c>
      <c r="L97" s="790">
        <f t="shared" si="18"/>
        <v>26356</v>
      </c>
      <c r="M97" s="791">
        <f t="shared" si="18"/>
        <v>23356</v>
      </c>
      <c r="N97" s="792">
        <f t="shared" si="18"/>
        <v>300</v>
      </c>
      <c r="O97" s="790">
        <f t="shared" si="18"/>
        <v>2700</v>
      </c>
      <c r="P97" s="793"/>
      <c r="Q97" s="719"/>
    </row>
    <row r="98" ht="12">
      <c r="P98" s="718"/>
    </row>
    <row r="99" ht="12">
      <c r="P99" s="718"/>
    </row>
    <row r="100" ht="12">
      <c r="P100" s="718"/>
    </row>
    <row r="101" ht="12">
      <c r="P101" s="718"/>
    </row>
    <row r="103" spans="1:17" ht="15.75" customHeight="1">
      <c r="A103" s="1250" t="s">
        <v>1079</v>
      </c>
      <c r="B103" s="1250"/>
      <c r="C103" s="1250"/>
      <c r="D103" s="1250"/>
      <c r="E103" s="1250"/>
      <c r="F103" s="1250"/>
      <c r="G103" s="1250"/>
      <c r="H103" s="1250"/>
      <c r="I103" s="1250"/>
      <c r="J103" s="1250"/>
      <c r="K103" s="1250"/>
      <c r="L103" s="1250"/>
      <c r="M103" s="1250"/>
      <c r="N103" s="1250"/>
      <c r="O103" s="1250"/>
      <c r="P103" s="1250"/>
      <c r="Q103" s="387"/>
    </row>
    <row r="104" spans="11:17" ht="12.75" thickBot="1">
      <c r="K104" s="295"/>
      <c r="O104" s="794"/>
      <c r="P104" s="295" t="s">
        <v>543</v>
      </c>
      <c r="Q104" s="295"/>
    </row>
    <row r="105" spans="1:17" s="720" customFormat="1" ht="12.75" customHeight="1" thickBot="1">
      <c r="A105" s="1361" t="s">
        <v>17</v>
      </c>
      <c r="B105" s="1365" t="s">
        <v>1063</v>
      </c>
      <c r="C105" s="1367" t="s">
        <v>1062</v>
      </c>
      <c r="D105" s="1281" t="s">
        <v>1041</v>
      </c>
      <c r="E105" s="1363" t="s">
        <v>1053</v>
      </c>
      <c r="F105" s="1272" t="s">
        <v>419</v>
      </c>
      <c r="G105" s="1272" t="s">
        <v>1064</v>
      </c>
      <c r="H105" s="1281" t="s">
        <v>1042</v>
      </c>
      <c r="I105" s="1282"/>
      <c r="J105" s="1282"/>
      <c r="K105" s="1282"/>
      <c r="L105" s="1283"/>
      <c r="M105" s="1272" t="s">
        <v>1065</v>
      </c>
      <c r="N105" s="818" t="s">
        <v>1042</v>
      </c>
      <c r="O105" s="819"/>
      <c r="P105" s="820"/>
      <c r="Q105" s="719"/>
    </row>
    <row r="106" spans="1:17" s="720" customFormat="1" ht="72.75" thickBot="1">
      <c r="A106" s="1362"/>
      <c r="B106" s="1366"/>
      <c r="C106" s="1368"/>
      <c r="D106" s="1294"/>
      <c r="E106" s="1364"/>
      <c r="F106" s="1273"/>
      <c r="G106" s="1273"/>
      <c r="H106" s="390" t="s">
        <v>74</v>
      </c>
      <c r="I106" s="485" t="s">
        <v>532</v>
      </c>
      <c r="J106" s="485" t="s">
        <v>533</v>
      </c>
      <c r="K106" s="485" t="s">
        <v>1069</v>
      </c>
      <c r="L106" s="484" t="s">
        <v>535</v>
      </c>
      <c r="M106" s="1273"/>
      <c r="N106" s="390" t="s">
        <v>536</v>
      </c>
      <c r="O106" s="485" t="s">
        <v>537</v>
      </c>
      <c r="P106" s="484" t="s">
        <v>538</v>
      </c>
      <c r="Q106" s="721"/>
    </row>
    <row r="107" spans="1:17" s="720" customFormat="1" ht="12">
      <c r="A107" s="839">
        <v>1</v>
      </c>
      <c r="B107" s="846" t="s">
        <v>1070</v>
      </c>
      <c r="C107" s="821" t="s">
        <v>925</v>
      </c>
      <c r="D107" s="216" t="s">
        <v>877</v>
      </c>
      <c r="E107" s="823" t="s">
        <v>931</v>
      </c>
      <c r="F107" s="710">
        <f aca="true" t="shared" si="19" ref="F107:F152">+G107+M107</f>
        <v>0</v>
      </c>
      <c r="G107" s="711">
        <f>+H107+I107+J107+K107+L107</f>
        <v>0</v>
      </c>
      <c r="H107" s="850">
        <v>0</v>
      </c>
      <c r="I107" s="703">
        <v>0</v>
      </c>
      <c r="J107" s="706">
        <v>0</v>
      </c>
      <c r="K107" s="706">
        <v>0</v>
      </c>
      <c r="L107" s="707">
        <v>0</v>
      </c>
      <c r="M107" s="711">
        <f>+N107+O107+P107</f>
        <v>0</v>
      </c>
      <c r="N107" s="705">
        <v>0</v>
      </c>
      <c r="O107" s="706">
        <v>0</v>
      </c>
      <c r="P107" s="707">
        <v>0</v>
      </c>
      <c r="Q107" s="719"/>
    </row>
    <row r="108" spans="1:17" s="720" customFormat="1" ht="12">
      <c r="A108" s="839">
        <f>+A107+1</f>
        <v>2</v>
      </c>
      <c r="B108" s="847" t="s">
        <v>934</v>
      </c>
      <c r="C108" s="812" t="s">
        <v>933</v>
      </c>
      <c r="D108" s="723" t="s">
        <v>923</v>
      </c>
      <c r="E108" s="824" t="s">
        <v>932</v>
      </c>
      <c r="F108" s="710">
        <f t="shared" si="19"/>
        <v>217440</v>
      </c>
      <c r="G108" s="711">
        <f aca="true" t="shared" si="20" ref="G108:G152">+H108+I108+J108+K108+L108</f>
        <v>217440</v>
      </c>
      <c r="H108" s="705">
        <v>1319</v>
      </c>
      <c r="I108" s="724">
        <v>356</v>
      </c>
      <c r="J108" s="724">
        <v>131267</v>
      </c>
      <c r="K108" s="724">
        <v>0</v>
      </c>
      <c r="L108" s="725">
        <v>84498</v>
      </c>
      <c r="M108" s="711">
        <f aca="true" t="shared" si="21" ref="M108:M152">+N108+O108+P108</f>
        <v>0</v>
      </c>
      <c r="N108" s="726">
        <v>0</v>
      </c>
      <c r="O108" s="724">
        <v>0</v>
      </c>
      <c r="P108" s="725">
        <v>0</v>
      </c>
      <c r="Q108" s="719"/>
    </row>
    <row r="109" spans="1:17" s="720" customFormat="1" ht="12">
      <c r="A109" s="839">
        <f>+A108+1</f>
        <v>3</v>
      </c>
      <c r="B109" s="847" t="s">
        <v>943</v>
      </c>
      <c r="C109" s="812" t="s">
        <v>933</v>
      </c>
      <c r="D109" s="723" t="s">
        <v>942</v>
      </c>
      <c r="E109" s="824" t="s">
        <v>941</v>
      </c>
      <c r="F109" s="710">
        <f t="shared" si="19"/>
        <v>400</v>
      </c>
      <c r="G109" s="711">
        <f t="shared" si="20"/>
        <v>400</v>
      </c>
      <c r="H109" s="705">
        <v>0</v>
      </c>
      <c r="I109" s="724">
        <v>0</v>
      </c>
      <c r="J109" s="724">
        <v>0</v>
      </c>
      <c r="K109" s="724">
        <v>0</v>
      </c>
      <c r="L109" s="725">
        <v>400</v>
      </c>
      <c r="M109" s="711">
        <f t="shared" si="21"/>
        <v>0</v>
      </c>
      <c r="N109" s="726">
        <v>0</v>
      </c>
      <c r="O109" s="724">
        <v>0</v>
      </c>
      <c r="P109" s="725">
        <v>0</v>
      </c>
      <c r="Q109" s="719"/>
    </row>
    <row r="110" spans="1:17" s="733" customFormat="1" ht="12">
      <c r="A110" s="839">
        <f aca="true" t="shared" si="22" ref="A110:A152">+A109+1</f>
        <v>4</v>
      </c>
      <c r="B110" s="847" t="s">
        <v>936</v>
      </c>
      <c r="C110" s="812" t="s">
        <v>935</v>
      </c>
      <c r="D110" s="723" t="s">
        <v>878</v>
      </c>
      <c r="E110" s="824" t="s">
        <v>839</v>
      </c>
      <c r="F110" s="727">
        <f t="shared" si="19"/>
        <v>0</v>
      </c>
      <c r="G110" s="728">
        <f t="shared" si="20"/>
        <v>0</v>
      </c>
      <c r="H110" s="705">
        <v>0</v>
      </c>
      <c r="I110" s="729">
        <v>0</v>
      </c>
      <c r="J110" s="729">
        <v>0</v>
      </c>
      <c r="K110" s="729">
        <v>0</v>
      </c>
      <c r="L110" s="730">
        <v>0</v>
      </c>
      <c r="M110" s="728">
        <f t="shared" si="21"/>
        <v>0</v>
      </c>
      <c r="N110" s="731">
        <v>0</v>
      </c>
      <c r="O110" s="729">
        <v>0</v>
      </c>
      <c r="P110" s="730">
        <v>0</v>
      </c>
      <c r="Q110" s="719"/>
    </row>
    <row r="111" spans="1:17" s="720" customFormat="1" ht="12">
      <c r="A111" s="839">
        <f t="shared" si="22"/>
        <v>5</v>
      </c>
      <c r="B111" s="847" t="s">
        <v>1004</v>
      </c>
      <c r="C111" s="812" t="s">
        <v>1003</v>
      </c>
      <c r="D111" s="735" t="s">
        <v>904</v>
      </c>
      <c r="E111" s="824" t="s">
        <v>861</v>
      </c>
      <c r="F111" s="736">
        <f t="shared" si="19"/>
        <v>527</v>
      </c>
      <c r="G111" s="737">
        <f t="shared" si="20"/>
        <v>527</v>
      </c>
      <c r="H111" s="705">
        <v>0</v>
      </c>
      <c r="I111" s="724">
        <v>0</v>
      </c>
      <c r="J111" s="724">
        <v>527</v>
      </c>
      <c r="K111" s="724">
        <v>0</v>
      </c>
      <c r="L111" s="725">
        <v>0</v>
      </c>
      <c r="M111" s="737">
        <f t="shared" si="21"/>
        <v>0</v>
      </c>
      <c r="N111" s="726">
        <v>0</v>
      </c>
      <c r="O111" s="724">
        <v>0</v>
      </c>
      <c r="P111" s="725">
        <v>0</v>
      </c>
      <c r="Q111" s="719"/>
    </row>
    <row r="112" spans="1:17" ht="12">
      <c r="A112" s="839">
        <f t="shared" si="22"/>
        <v>6</v>
      </c>
      <c r="B112" s="847" t="s">
        <v>988</v>
      </c>
      <c r="C112" s="813" t="s">
        <v>987</v>
      </c>
      <c r="D112" s="723" t="s">
        <v>985</v>
      </c>
      <c r="E112" s="825" t="s">
        <v>986</v>
      </c>
      <c r="F112" s="710">
        <f t="shared" si="19"/>
        <v>0</v>
      </c>
      <c r="G112" s="711">
        <f t="shared" si="20"/>
        <v>0</v>
      </c>
      <c r="H112" s="705">
        <v>0</v>
      </c>
      <c r="I112" s="738">
        <v>0</v>
      </c>
      <c r="J112" s="738">
        <v>0</v>
      </c>
      <c r="K112" s="738">
        <v>0</v>
      </c>
      <c r="L112" s="602">
        <v>0</v>
      </c>
      <c r="M112" s="711">
        <f t="shared" si="21"/>
        <v>0</v>
      </c>
      <c r="N112" s="739">
        <v>0</v>
      </c>
      <c r="O112" s="738">
        <v>0</v>
      </c>
      <c r="P112" s="602">
        <v>0</v>
      </c>
      <c r="Q112" s="718"/>
    </row>
    <row r="113" spans="1:17" ht="24">
      <c r="A113" s="839">
        <f t="shared" si="22"/>
        <v>7</v>
      </c>
      <c r="B113" s="847" t="s">
        <v>988</v>
      </c>
      <c r="C113" s="812" t="s">
        <v>1005</v>
      </c>
      <c r="D113" s="735" t="s">
        <v>905</v>
      </c>
      <c r="E113" s="826" t="s">
        <v>862</v>
      </c>
      <c r="F113" s="736">
        <f t="shared" si="19"/>
        <v>2022</v>
      </c>
      <c r="G113" s="737">
        <f t="shared" si="20"/>
        <v>2022</v>
      </c>
      <c r="H113" s="705">
        <v>0</v>
      </c>
      <c r="I113" s="724">
        <v>0</v>
      </c>
      <c r="J113" s="724">
        <v>2022</v>
      </c>
      <c r="K113" s="724">
        <v>0</v>
      </c>
      <c r="L113" s="725">
        <v>0</v>
      </c>
      <c r="M113" s="737">
        <f t="shared" si="21"/>
        <v>0</v>
      </c>
      <c r="N113" s="726">
        <v>0</v>
      </c>
      <c r="O113" s="724">
        <v>0</v>
      </c>
      <c r="P113" s="725">
        <v>0</v>
      </c>
      <c r="Q113" s="719"/>
    </row>
    <row r="114" spans="1:17" s="748" customFormat="1" ht="12">
      <c r="A114" s="839">
        <f t="shared" si="22"/>
        <v>8</v>
      </c>
      <c r="B114" s="847" t="s">
        <v>980</v>
      </c>
      <c r="C114" s="811" t="s">
        <v>979</v>
      </c>
      <c r="D114" s="735" t="s">
        <v>1034</v>
      </c>
      <c r="E114" s="822" t="s">
        <v>1088</v>
      </c>
      <c r="F114" s="736">
        <f t="shared" si="19"/>
        <v>3806</v>
      </c>
      <c r="G114" s="737">
        <f t="shared" si="20"/>
        <v>2806</v>
      </c>
      <c r="H114" s="705">
        <v>0</v>
      </c>
      <c r="I114" s="724">
        <v>0</v>
      </c>
      <c r="J114" s="724">
        <v>2806</v>
      </c>
      <c r="K114" s="724">
        <v>0</v>
      </c>
      <c r="L114" s="725">
        <v>0</v>
      </c>
      <c r="M114" s="737">
        <f t="shared" si="21"/>
        <v>1000</v>
      </c>
      <c r="N114" s="726">
        <v>1000</v>
      </c>
      <c r="O114" s="724">
        <v>0</v>
      </c>
      <c r="P114" s="725">
        <v>0</v>
      </c>
      <c r="Q114" s="719"/>
    </row>
    <row r="115" spans="1:17" ht="12">
      <c r="A115" s="839">
        <f t="shared" si="22"/>
        <v>9</v>
      </c>
      <c r="B115" s="847" t="s">
        <v>940</v>
      </c>
      <c r="C115" s="812" t="s">
        <v>939</v>
      </c>
      <c r="D115" s="735" t="s">
        <v>880</v>
      </c>
      <c r="E115" s="826" t="s">
        <v>841</v>
      </c>
      <c r="F115" s="736">
        <f t="shared" si="19"/>
        <v>0</v>
      </c>
      <c r="G115" s="737">
        <f t="shared" si="20"/>
        <v>0</v>
      </c>
      <c r="H115" s="705">
        <v>0</v>
      </c>
      <c r="I115" s="724">
        <v>0</v>
      </c>
      <c r="J115" s="724">
        <v>0</v>
      </c>
      <c r="K115" s="724">
        <v>0</v>
      </c>
      <c r="L115" s="725">
        <v>0</v>
      </c>
      <c r="M115" s="737">
        <f t="shared" si="21"/>
        <v>0</v>
      </c>
      <c r="N115" s="726">
        <v>0</v>
      </c>
      <c r="O115" s="724">
        <v>0</v>
      </c>
      <c r="P115" s="725">
        <v>0</v>
      </c>
      <c r="Q115" s="719"/>
    </row>
    <row r="116" spans="1:17" ht="12">
      <c r="A116" s="839">
        <f t="shared" si="22"/>
        <v>10</v>
      </c>
      <c r="B116" s="847" t="s">
        <v>1013</v>
      </c>
      <c r="C116" s="812" t="s">
        <v>1010</v>
      </c>
      <c r="D116" s="735" t="s">
        <v>906</v>
      </c>
      <c r="E116" s="826" t="s">
        <v>1008</v>
      </c>
      <c r="F116" s="736">
        <f t="shared" si="19"/>
        <v>0</v>
      </c>
      <c r="G116" s="737">
        <f t="shared" si="20"/>
        <v>0</v>
      </c>
      <c r="H116" s="705">
        <v>0</v>
      </c>
      <c r="I116" s="724">
        <v>0</v>
      </c>
      <c r="J116" s="724">
        <v>0</v>
      </c>
      <c r="K116" s="724">
        <v>0</v>
      </c>
      <c r="L116" s="725">
        <v>0</v>
      </c>
      <c r="M116" s="737">
        <f t="shared" si="21"/>
        <v>0</v>
      </c>
      <c r="N116" s="726">
        <v>0</v>
      </c>
      <c r="O116" s="724">
        <v>0</v>
      </c>
      <c r="P116" s="725">
        <v>0</v>
      </c>
      <c r="Q116" s="719"/>
    </row>
    <row r="117" spans="1:17" ht="12">
      <c r="A117" s="839">
        <f t="shared" si="22"/>
        <v>11</v>
      </c>
      <c r="B117" s="847" t="s">
        <v>1009</v>
      </c>
      <c r="C117" s="812" t="s">
        <v>1012</v>
      </c>
      <c r="D117" s="735" t="s">
        <v>1011</v>
      </c>
      <c r="E117" s="826" t="s">
        <v>863</v>
      </c>
      <c r="F117" s="736">
        <f t="shared" si="19"/>
        <v>2536</v>
      </c>
      <c r="G117" s="737">
        <f t="shared" si="20"/>
        <v>2536</v>
      </c>
      <c r="H117" s="705">
        <v>0</v>
      </c>
      <c r="I117" s="724">
        <v>0</v>
      </c>
      <c r="J117" s="724">
        <v>2536</v>
      </c>
      <c r="K117" s="724">
        <v>0</v>
      </c>
      <c r="L117" s="725">
        <v>0</v>
      </c>
      <c r="M117" s="737">
        <f t="shared" si="21"/>
        <v>0</v>
      </c>
      <c r="N117" s="726">
        <v>0</v>
      </c>
      <c r="O117" s="724">
        <v>0</v>
      </c>
      <c r="P117" s="725">
        <v>0</v>
      </c>
      <c r="Q117" s="719"/>
    </row>
    <row r="118" spans="1:17" ht="12">
      <c r="A118" s="839">
        <f t="shared" si="22"/>
        <v>12</v>
      </c>
      <c r="B118" s="847" t="s">
        <v>1015</v>
      </c>
      <c r="C118" s="812" t="s">
        <v>1014</v>
      </c>
      <c r="D118" s="735" t="s">
        <v>907</v>
      </c>
      <c r="E118" s="826" t="s">
        <v>864</v>
      </c>
      <c r="F118" s="736">
        <f t="shared" si="19"/>
        <v>1000</v>
      </c>
      <c r="G118" s="737">
        <f t="shared" si="20"/>
        <v>1000</v>
      </c>
      <c r="H118" s="705">
        <v>0</v>
      </c>
      <c r="I118" s="724">
        <v>0</v>
      </c>
      <c r="J118" s="724">
        <v>0</v>
      </c>
      <c r="K118" s="724">
        <v>0</v>
      </c>
      <c r="L118" s="725">
        <v>1000</v>
      </c>
      <c r="M118" s="737">
        <f t="shared" si="21"/>
        <v>0</v>
      </c>
      <c r="N118" s="726">
        <v>0</v>
      </c>
      <c r="O118" s="724">
        <v>0</v>
      </c>
      <c r="P118" s="725">
        <v>0</v>
      </c>
      <c r="Q118" s="719"/>
    </row>
    <row r="119" spans="1:17" ht="12">
      <c r="A119" s="839">
        <f t="shared" si="22"/>
        <v>13</v>
      </c>
      <c r="B119" s="847" t="s">
        <v>993</v>
      </c>
      <c r="C119" s="812" t="s">
        <v>927</v>
      </c>
      <c r="D119" s="735" t="s">
        <v>902</v>
      </c>
      <c r="E119" s="826" t="s">
        <v>992</v>
      </c>
      <c r="F119" s="736">
        <f t="shared" si="19"/>
        <v>0</v>
      </c>
      <c r="G119" s="737">
        <f t="shared" si="20"/>
        <v>0</v>
      </c>
      <c r="H119" s="705">
        <v>0</v>
      </c>
      <c r="I119" s="724">
        <v>0</v>
      </c>
      <c r="J119" s="724">
        <v>0</v>
      </c>
      <c r="K119" s="724">
        <v>0</v>
      </c>
      <c r="L119" s="725">
        <v>0</v>
      </c>
      <c r="M119" s="737">
        <f t="shared" si="21"/>
        <v>0</v>
      </c>
      <c r="N119" s="726">
        <v>0</v>
      </c>
      <c r="O119" s="724">
        <v>0</v>
      </c>
      <c r="P119" s="725">
        <v>0</v>
      </c>
      <c r="Q119" s="719"/>
    </row>
    <row r="120" spans="1:17" ht="12">
      <c r="A120" s="839">
        <f t="shared" si="22"/>
        <v>14</v>
      </c>
      <c r="B120" s="847" t="s">
        <v>994</v>
      </c>
      <c r="C120" s="812" t="s">
        <v>928</v>
      </c>
      <c r="D120" s="735" t="s">
        <v>902</v>
      </c>
      <c r="E120" s="826" t="s">
        <v>992</v>
      </c>
      <c r="F120" s="736">
        <f t="shared" si="19"/>
        <v>10000</v>
      </c>
      <c r="G120" s="737">
        <f t="shared" si="20"/>
        <v>10000</v>
      </c>
      <c r="H120" s="705">
        <v>0</v>
      </c>
      <c r="I120" s="724">
        <v>0</v>
      </c>
      <c r="J120" s="724">
        <v>10000</v>
      </c>
      <c r="K120" s="724">
        <v>0</v>
      </c>
      <c r="L120" s="725">
        <v>0</v>
      </c>
      <c r="M120" s="737">
        <f t="shared" si="21"/>
        <v>0</v>
      </c>
      <c r="N120" s="726">
        <v>0</v>
      </c>
      <c r="O120" s="724">
        <v>0</v>
      </c>
      <c r="P120" s="725">
        <v>0</v>
      </c>
      <c r="Q120" s="719"/>
    </row>
    <row r="121" spans="1:17" ht="12">
      <c r="A121" s="839">
        <f t="shared" si="22"/>
        <v>15</v>
      </c>
      <c r="B121" s="847" t="s">
        <v>996</v>
      </c>
      <c r="C121" s="812" t="s">
        <v>997</v>
      </c>
      <c r="D121" s="735" t="s">
        <v>1075</v>
      </c>
      <c r="E121" s="826" t="s">
        <v>995</v>
      </c>
      <c r="F121" s="736">
        <f t="shared" si="19"/>
        <v>222647</v>
      </c>
      <c r="G121" s="737">
        <f t="shared" si="20"/>
        <v>217447</v>
      </c>
      <c r="H121" s="705">
        <v>184345</v>
      </c>
      <c r="I121" s="724">
        <v>24888</v>
      </c>
      <c r="J121" s="724">
        <v>8214</v>
      </c>
      <c r="K121" s="724">
        <v>0</v>
      </c>
      <c r="L121" s="725">
        <v>0</v>
      </c>
      <c r="M121" s="737">
        <f t="shared" si="21"/>
        <v>5200</v>
      </c>
      <c r="N121" s="726">
        <v>5200</v>
      </c>
      <c r="O121" s="724">
        <v>0</v>
      </c>
      <c r="P121" s="725">
        <v>0</v>
      </c>
      <c r="Q121" s="719"/>
    </row>
    <row r="122" spans="1:17" ht="12">
      <c r="A122" s="839">
        <f t="shared" si="22"/>
        <v>16</v>
      </c>
      <c r="B122" s="847" t="s">
        <v>1000</v>
      </c>
      <c r="C122" s="812" t="s">
        <v>1001</v>
      </c>
      <c r="D122" s="735" t="s">
        <v>1076</v>
      </c>
      <c r="E122" s="826" t="s">
        <v>998</v>
      </c>
      <c r="F122" s="736">
        <f t="shared" si="19"/>
        <v>0</v>
      </c>
      <c r="G122" s="737">
        <f t="shared" si="20"/>
        <v>0</v>
      </c>
      <c r="H122" s="705">
        <v>0</v>
      </c>
      <c r="I122" s="724">
        <v>0</v>
      </c>
      <c r="J122" s="724">
        <v>0</v>
      </c>
      <c r="K122" s="724">
        <v>0</v>
      </c>
      <c r="L122" s="725">
        <v>0</v>
      </c>
      <c r="M122" s="737">
        <f t="shared" si="21"/>
        <v>0</v>
      </c>
      <c r="N122" s="726">
        <v>0</v>
      </c>
      <c r="O122" s="724">
        <v>0</v>
      </c>
      <c r="P122" s="725">
        <v>0</v>
      </c>
      <c r="Q122" s="719"/>
    </row>
    <row r="123" spans="1:17" ht="12">
      <c r="A123" s="839">
        <f t="shared" si="22"/>
        <v>17</v>
      </c>
      <c r="B123" s="847" t="s">
        <v>999</v>
      </c>
      <c r="C123" s="812" t="s">
        <v>929</v>
      </c>
      <c r="D123" s="735" t="s">
        <v>1076</v>
      </c>
      <c r="E123" s="826" t="s">
        <v>998</v>
      </c>
      <c r="F123" s="736">
        <f t="shared" si="19"/>
        <v>0</v>
      </c>
      <c r="G123" s="737">
        <f t="shared" si="20"/>
        <v>0</v>
      </c>
      <c r="H123" s="705">
        <v>0</v>
      </c>
      <c r="I123" s="724">
        <v>0</v>
      </c>
      <c r="J123" s="724">
        <v>0</v>
      </c>
      <c r="K123" s="724">
        <v>0</v>
      </c>
      <c r="L123" s="725">
        <v>0</v>
      </c>
      <c r="M123" s="737">
        <f t="shared" si="21"/>
        <v>0</v>
      </c>
      <c r="N123" s="726">
        <v>0</v>
      </c>
      <c r="O123" s="724">
        <v>0</v>
      </c>
      <c r="P123" s="725">
        <v>0</v>
      </c>
      <c r="Q123" s="719"/>
    </row>
    <row r="124" spans="1:17" ht="12">
      <c r="A124" s="839">
        <f t="shared" si="22"/>
        <v>18</v>
      </c>
      <c r="B124" s="847" t="s">
        <v>990</v>
      </c>
      <c r="C124" s="812" t="s">
        <v>989</v>
      </c>
      <c r="D124" s="735" t="s">
        <v>899</v>
      </c>
      <c r="E124" s="826" t="s">
        <v>857</v>
      </c>
      <c r="F124" s="736">
        <f t="shared" si="19"/>
        <v>2500</v>
      </c>
      <c r="G124" s="737">
        <f t="shared" si="20"/>
        <v>2500</v>
      </c>
      <c r="H124" s="705">
        <v>0</v>
      </c>
      <c r="I124" s="724">
        <v>0</v>
      </c>
      <c r="J124" s="724">
        <v>2500</v>
      </c>
      <c r="K124" s="724">
        <v>0</v>
      </c>
      <c r="L124" s="725">
        <v>0</v>
      </c>
      <c r="M124" s="737">
        <f t="shared" si="21"/>
        <v>0</v>
      </c>
      <c r="N124" s="726">
        <v>0</v>
      </c>
      <c r="O124" s="724">
        <v>0</v>
      </c>
      <c r="P124" s="725">
        <v>0</v>
      </c>
      <c r="Q124" s="719"/>
    </row>
    <row r="125" spans="1:17" ht="12">
      <c r="A125" s="839">
        <f t="shared" si="22"/>
        <v>19</v>
      </c>
      <c r="B125" s="478" t="s">
        <v>971</v>
      </c>
      <c r="C125" s="812" t="s">
        <v>853</v>
      </c>
      <c r="D125" s="735" t="s">
        <v>896</v>
      </c>
      <c r="E125" s="826" t="s">
        <v>853</v>
      </c>
      <c r="F125" s="736">
        <f t="shared" si="19"/>
        <v>0</v>
      </c>
      <c r="G125" s="737">
        <f t="shared" si="20"/>
        <v>0</v>
      </c>
      <c r="H125" s="705">
        <v>0</v>
      </c>
      <c r="I125" s="724">
        <v>0</v>
      </c>
      <c r="J125" s="724">
        <v>0</v>
      </c>
      <c r="K125" s="724">
        <v>0</v>
      </c>
      <c r="L125" s="725">
        <v>0</v>
      </c>
      <c r="M125" s="737">
        <f t="shared" si="21"/>
        <v>0</v>
      </c>
      <c r="N125" s="726">
        <v>0</v>
      </c>
      <c r="O125" s="724">
        <v>0</v>
      </c>
      <c r="P125" s="725">
        <v>0</v>
      </c>
      <c r="Q125" s="719"/>
    </row>
    <row r="126" spans="1:17" ht="12">
      <c r="A126" s="839">
        <f t="shared" si="22"/>
        <v>20</v>
      </c>
      <c r="B126" s="475" t="s">
        <v>973</v>
      </c>
      <c r="C126" s="814" t="s">
        <v>972</v>
      </c>
      <c r="D126" s="743" t="s">
        <v>897</v>
      </c>
      <c r="E126" s="827" t="s">
        <v>972</v>
      </c>
      <c r="F126" s="736">
        <f t="shared" si="19"/>
        <v>0</v>
      </c>
      <c r="G126" s="737">
        <f t="shared" si="20"/>
        <v>0</v>
      </c>
      <c r="H126" s="705">
        <v>0</v>
      </c>
      <c r="I126" s="724">
        <v>0</v>
      </c>
      <c r="J126" s="724">
        <v>0</v>
      </c>
      <c r="K126" s="724">
        <v>0</v>
      </c>
      <c r="L126" s="725">
        <v>0</v>
      </c>
      <c r="M126" s="737">
        <f t="shared" si="21"/>
        <v>0</v>
      </c>
      <c r="N126" s="726">
        <v>0</v>
      </c>
      <c r="O126" s="724">
        <v>0</v>
      </c>
      <c r="P126" s="725">
        <v>0</v>
      </c>
      <c r="Q126" s="719"/>
    </row>
    <row r="127" spans="1:17" ht="12">
      <c r="A127" s="839">
        <f t="shared" si="22"/>
        <v>21</v>
      </c>
      <c r="B127" s="475" t="s">
        <v>975</v>
      </c>
      <c r="C127" s="814" t="s">
        <v>854</v>
      </c>
      <c r="D127" s="743" t="s">
        <v>974</v>
      </c>
      <c r="E127" s="827" t="s">
        <v>854</v>
      </c>
      <c r="F127" s="736">
        <f t="shared" si="19"/>
        <v>28250</v>
      </c>
      <c r="G127" s="737">
        <f t="shared" si="20"/>
        <v>28250</v>
      </c>
      <c r="H127" s="705">
        <v>0</v>
      </c>
      <c r="I127" s="724">
        <v>0</v>
      </c>
      <c r="J127" s="724">
        <v>28250</v>
      </c>
      <c r="K127" s="724">
        <v>0</v>
      </c>
      <c r="L127" s="725">
        <v>0</v>
      </c>
      <c r="M127" s="737">
        <f t="shared" si="21"/>
        <v>0</v>
      </c>
      <c r="N127" s="726">
        <v>0</v>
      </c>
      <c r="O127" s="724">
        <v>0</v>
      </c>
      <c r="P127" s="725">
        <v>0</v>
      </c>
      <c r="Q127" s="719"/>
    </row>
    <row r="128" spans="1:17" ht="12">
      <c r="A128" s="839">
        <f t="shared" si="22"/>
        <v>22</v>
      </c>
      <c r="B128" s="478" t="s">
        <v>1002</v>
      </c>
      <c r="C128" s="812" t="s">
        <v>860</v>
      </c>
      <c r="D128" s="735" t="s">
        <v>903</v>
      </c>
      <c r="E128" s="826" t="s">
        <v>860</v>
      </c>
      <c r="F128" s="736">
        <f t="shared" si="19"/>
        <v>0</v>
      </c>
      <c r="G128" s="737">
        <f t="shared" si="20"/>
        <v>0</v>
      </c>
      <c r="H128" s="705">
        <v>0</v>
      </c>
      <c r="I128" s="724">
        <v>0</v>
      </c>
      <c r="J128" s="724">
        <v>0</v>
      </c>
      <c r="K128" s="724">
        <v>0</v>
      </c>
      <c r="L128" s="725">
        <v>0</v>
      </c>
      <c r="M128" s="737">
        <f t="shared" si="21"/>
        <v>0</v>
      </c>
      <c r="N128" s="726">
        <v>0</v>
      </c>
      <c r="O128" s="724">
        <v>0</v>
      </c>
      <c r="P128" s="725">
        <v>0</v>
      </c>
      <c r="Q128" s="719"/>
    </row>
    <row r="129" spans="1:17" ht="12">
      <c r="A129" s="839">
        <f t="shared" si="22"/>
        <v>23</v>
      </c>
      <c r="B129" s="478" t="s">
        <v>969</v>
      </c>
      <c r="C129" s="812" t="s">
        <v>970</v>
      </c>
      <c r="D129" s="735" t="s">
        <v>895</v>
      </c>
      <c r="E129" s="826" t="s">
        <v>968</v>
      </c>
      <c r="F129" s="736">
        <f t="shared" si="19"/>
        <v>0</v>
      </c>
      <c r="G129" s="737">
        <f t="shared" si="20"/>
        <v>0</v>
      </c>
      <c r="H129" s="705">
        <v>0</v>
      </c>
      <c r="I129" s="724">
        <v>0</v>
      </c>
      <c r="J129" s="724">
        <v>0</v>
      </c>
      <c r="K129" s="724">
        <v>0</v>
      </c>
      <c r="L129" s="725">
        <v>0</v>
      </c>
      <c r="M129" s="737">
        <f t="shared" si="21"/>
        <v>0</v>
      </c>
      <c r="N129" s="726">
        <v>0</v>
      </c>
      <c r="O129" s="724">
        <v>0</v>
      </c>
      <c r="P129" s="725">
        <v>0</v>
      </c>
      <c r="Q129" s="719"/>
    </row>
    <row r="130" spans="1:17" ht="12">
      <c r="A130" s="839">
        <f t="shared" si="22"/>
        <v>24</v>
      </c>
      <c r="B130" s="478" t="s">
        <v>966</v>
      </c>
      <c r="C130" s="812" t="s">
        <v>967</v>
      </c>
      <c r="D130" s="735" t="s">
        <v>894</v>
      </c>
      <c r="E130" s="826" t="s">
        <v>852</v>
      </c>
      <c r="F130" s="744">
        <f t="shared" si="19"/>
        <v>5200</v>
      </c>
      <c r="G130" s="745">
        <f t="shared" si="20"/>
        <v>5200</v>
      </c>
      <c r="H130" s="705">
        <v>0</v>
      </c>
      <c r="I130" s="746">
        <v>0</v>
      </c>
      <c r="J130" s="746">
        <v>5200</v>
      </c>
      <c r="K130" s="746">
        <v>0</v>
      </c>
      <c r="L130" s="573">
        <v>0</v>
      </c>
      <c r="M130" s="745">
        <f t="shared" si="21"/>
        <v>0</v>
      </c>
      <c r="N130" s="747">
        <v>0</v>
      </c>
      <c r="O130" s="746">
        <v>0</v>
      </c>
      <c r="P130" s="573">
        <v>0</v>
      </c>
      <c r="Q130" s="719"/>
    </row>
    <row r="131" spans="1:17" ht="12">
      <c r="A131" s="839">
        <f t="shared" si="22"/>
        <v>25</v>
      </c>
      <c r="B131" s="478" t="s">
        <v>977</v>
      </c>
      <c r="C131" s="812" t="s">
        <v>855</v>
      </c>
      <c r="D131" s="735" t="s">
        <v>976</v>
      </c>
      <c r="E131" s="826" t="s">
        <v>855</v>
      </c>
      <c r="F131" s="744">
        <f t="shared" si="19"/>
        <v>22500</v>
      </c>
      <c r="G131" s="745">
        <f t="shared" si="20"/>
        <v>22500</v>
      </c>
      <c r="H131" s="705">
        <v>0</v>
      </c>
      <c r="I131" s="746">
        <v>0</v>
      </c>
      <c r="J131" s="746">
        <v>22500</v>
      </c>
      <c r="K131" s="746">
        <v>0</v>
      </c>
      <c r="L131" s="573">
        <v>0</v>
      </c>
      <c r="M131" s="745">
        <f t="shared" si="21"/>
        <v>0</v>
      </c>
      <c r="N131" s="747">
        <v>0</v>
      </c>
      <c r="O131" s="746">
        <v>0</v>
      </c>
      <c r="P131" s="573">
        <v>0</v>
      </c>
      <c r="Q131" s="719"/>
    </row>
    <row r="132" spans="1:17" ht="12">
      <c r="A132" s="839">
        <f t="shared" si="22"/>
        <v>26</v>
      </c>
      <c r="B132" s="478" t="s">
        <v>991</v>
      </c>
      <c r="C132" s="812" t="s">
        <v>858</v>
      </c>
      <c r="D132" s="735" t="s">
        <v>900</v>
      </c>
      <c r="E132" s="826" t="s">
        <v>858</v>
      </c>
      <c r="F132" s="744">
        <f t="shared" si="19"/>
        <v>1900</v>
      </c>
      <c r="G132" s="745">
        <f t="shared" si="20"/>
        <v>1900</v>
      </c>
      <c r="H132" s="705">
        <v>0</v>
      </c>
      <c r="I132" s="746">
        <v>0</v>
      </c>
      <c r="J132" s="746">
        <v>1900</v>
      </c>
      <c r="K132" s="746">
        <v>0</v>
      </c>
      <c r="L132" s="573">
        <v>0</v>
      </c>
      <c r="M132" s="745">
        <f t="shared" si="21"/>
        <v>0</v>
      </c>
      <c r="N132" s="747">
        <v>0</v>
      </c>
      <c r="O132" s="746">
        <v>0</v>
      </c>
      <c r="P132" s="573">
        <v>0</v>
      </c>
      <c r="Q132" s="719"/>
    </row>
    <row r="133" spans="1:17" s="748" customFormat="1" ht="12">
      <c r="A133" s="839">
        <f t="shared" si="22"/>
        <v>27</v>
      </c>
      <c r="B133" s="478" t="s">
        <v>978</v>
      </c>
      <c r="C133" s="812" t="s">
        <v>856</v>
      </c>
      <c r="D133" s="735" t="s">
        <v>898</v>
      </c>
      <c r="E133" s="826" t="s">
        <v>856</v>
      </c>
      <c r="F133" s="736">
        <f t="shared" si="19"/>
        <v>12675</v>
      </c>
      <c r="G133" s="737">
        <f t="shared" si="20"/>
        <v>10135</v>
      </c>
      <c r="H133" s="705">
        <v>0</v>
      </c>
      <c r="I133" s="724">
        <v>0</v>
      </c>
      <c r="J133" s="724">
        <v>10135</v>
      </c>
      <c r="K133" s="724">
        <v>0</v>
      </c>
      <c r="L133" s="725">
        <v>0</v>
      </c>
      <c r="M133" s="737">
        <f t="shared" si="21"/>
        <v>2540</v>
      </c>
      <c r="N133" s="726">
        <v>2540</v>
      </c>
      <c r="O133" s="724">
        <v>0</v>
      </c>
      <c r="P133" s="725">
        <v>0</v>
      </c>
      <c r="Q133" s="719"/>
    </row>
    <row r="134" spans="1:17" s="748" customFormat="1" ht="12">
      <c r="A134" s="839">
        <f t="shared" si="22"/>
        <v>28</v>
      </c>
      <c r="B134" s="478" t="s">
        <v>982</v>
      </c>
      <c r="C134" s="812" t="s">
        <v>983</v>
      </c>
      <c r="D134" s="735" t="s">
        <v>1038</v>
      </c>
      <c r="E134" s="826" t="s">
        <v>983</v>
      </c>
      <c r="F134" s="736">
        <f t="shared" si="19"/>
        <v>13489</v>
      </c>
      <c r="G134" s="737">
        <f t="shared" si="20"/>
        <v>13489</v>
      </c>
      <c r="H134" s="705">
        <v>0</v>
      </c>
      <c r="I134" s="724">
        <v>0</v>
      </c>
      <c r="J134" s="724">
        <v>13489</v>
      </c>
      <c r="K134" s="724">
        <v>0</v>
      </c>
      <c r="L134" s="725">
        <v>0</v>
      </c>
      <c r="M134" s="737">
        <f t="shared" si="21"/>
        <v>0</v>
      </c>
      <c r="N134" s="726">
        <v>0</v>
      </c>
      <c r="O134" s="724">
        <v>0</v>
      </c>
      <c r="P134" s="725">
        <v>0</v>
      </c>
      <c r="Q134" s="719"/>
    </row>
    <row r="135" spans="1:17" s="748" customFormat="1" ht="12">
      <c r="A135" s="839">
        <f t="shared" si="22"/>
        <v>29</v>
      </c>
      <c r="B135" s="585" t="s">
        <v>1018</v>
      </c>
      <c r="C135" s="811" t="s">
        <v>1016</v>
      </c>
      <c r="D135" s="735" t="s">
        <v>917</v>
      </c>
      <c r="E135" s="822" t="s">
        <v>873</v>
      </c>
      <c r="F135" s="736">
        <f t="shared" si="19"/>
        <v>0</v>
      </c>
      <c r="G135" s="737">
        <f t="shared" si="20"/>
        <v>0</v>
      </c>
      <c r="H135" s="705">
        <v>0</v>
      </c>
      <c r="I135" s="724">
        <v>0</v>
      </c>
      <c r="J135" s="724">
        <v>0</v>
      </c>
      <c r="K135" s="724">
        <v>0</v>
      </c>
      <c r="L135" s="725">
        <v>0</v>
      </c>
      <c r="M135" s="737">
        <f t="shared" si="21"/>
        <v>0</v>
      </c>
      <c r="N135" s="726">
        <v>0</v>
      </c>
      <c r="O135" s="724">
        <v>0</v>
      </c>
      <c r="P135" s="725">
        <v>0</v>
      </c>
      <c r="Q135" s="719"/>
    </row>
    <row r="136" spans="1:17" s="748" customFormat="1" ht="12">
      <c r="A136" s="839">
        <f t="shared" si="22"/>
        <v>30</v>
      </c>
      <c r="B136" s="585" t="s">
        <v>1019</v>
      </c>
      <c r="C136" s="811" t="s">
        <v>1017</v>
      </c>
      <c r="D136" s="735" t="s">
        <v>908</v>
      </c>
      <c r="E136" s="822" t="s">
        <v>865</v>
      </c>
      <c r="F136" s="736">
        <f t="shared" si="19"/>
        <v>3800</v>
      </c>
      <c r="G136" s="737">
        <f t="shared" si="20"/>
        <v>3800</v>
      </c>
      <c r="H136" s="705">
        <v>0</v>
      </c>
      <c r="I136" s="724">
        <v>0</v>
      </c>
      <c r="J136" s="724">
        <v>0</v>
      </c>
      <c r="K136" s="724">
        <v>0</v>
      </c>
      <c r="L136" s="725">
        <v>3800</v>
      </c>
      <c r="M136" s="737">
        <f t="shared" si="21"/>
        <v>0</v>
      </c>
      <c r="N136" s="726">
        <v>0</v>
      </c>
      <c r="O136" s="724">
        <v>0</v>
      </c>
      <c r="P136" s="725">
        <v>0</v>
      </c>
      <c r="Q136" s="719"/>
    </row>
    <row r="137" spans="1:17" s="748" customFormat="1" ht="12">
      <c r="A137" s="839">
        <f t="shared" si="22"/>
        <v>31</v>
      </c>
      <c r="B137" s="585" t="s">
        <v>981</v>
      </c>
      <c r="C137" s="811" t="s">
        <v>984</v>
      </c>
      <c r="D137" s="735" t="s">
        <v>1037</v>
      </c>
      <c r="E137" s="822" t="s">
        <v>984</v>
      </c>
      <c r="F137" s="736">
        <f t="shared" si="19"/>
        <v>64039</v>
      </c>
      <c r="G137" s="737">
        <f t="shared" si="20"/>
        <v>0</v>
      </c>
      <c r="H137" s="705">
        <v>0</v>
      </c>
      <c r="I137" s="724">
        <v>0</v>
      </c>
      <c r="J137" s="724">
        <v>0</v>
      </c>
      <c r="K137" s="724">
        <v>0</v>
      </c>
      <c r="L137" s="725">
        <v>0</v>
      </c>
      <c r="M137" s="737">
        <f t="shared" si="21"/>
        <v>64039</v>
      </c>
      <c r="N137" s="726">
        <v>64039</v>
      </c>
      <c r="O137" s="724">
        <v>0</v>
      </c>
      <c r="P137" s="725">
        <v>0</v>
      </c>
      <c r="Q137" s="719"/>
    </row>
    <row r="138" spans="1:17" s="748" customFormat="1" ht="12">
      <c r="A138" s="839">
        <f t="shared" si="22"/>
        <v>32</v>
      </c>
      <c r="B138" s="585" t="s">
        <v>952</v>
      </c>
      <c r="C138" s="811" t="s">
        <v>951</v>
      </c>
      <c r="D138" s="735" t="s">
        <v>884</v>
      </c>
      <c r="E138" s="822" t="s">
        <v>844</v>
      </c>
      <c r="F138" s="736">
        <f t="shared" si="19"/>
        <v>0</v>
      </c>
      <c r="G138" s="737">
        <f t="shared" si="20"/>
        <v>0</v>
      </c>
      <c r="H138" s="705">
        <v>0</v>
      </c>
      <c r="I138" s="724">
        <v>0</v>
      </c>
      <c r="J138" s="724">
        <v>0</v>
      </c>
      <c r="K138" s="724">
        <v>0</v>
      </c>
      <c r="L138" s="725">
        <v>0</v>
      </c>
      <c r="M138" s="737">
        <f t="shared" si="21"/>
        <v>0</v>
      </c>
      <c r="N138" s="726">
        <v>0</v>
      </c>
      <c r="O138" s="724">
        <v>0</v>
      </c>
      <c r="P138" s="725">
        <v>0</v>
      </c>
      <c r="Q138" s="719"/>
    </row>
    <row r="139" spans="1:17" s="748" customFormat="1" ht="12">
      <c r="A139" s="839">
        <f t="shared" si="22"/>
        <v>33</v>
      </c>
      <c r="B139" s="585" t="s">
        <v>952</v>
      </c>
      <c r="C139" s="811" t="s">
        <v>951</v>
      </c>
      <c r="D139" s="735" t="s">
        <v>891</v>
      </c>
      <c r="E139" s="822" t="s">
        <v>849</v>
      </c>
      <c r="F139" s="736">
        <f t="shared" si="19"/>
        <v>3600</v>
      </c>
      <c r="G139" s="737">
        <f t="shared" si="20"/>
        <v>3600</v>
      </c>
      <c r="H139" s="705">
        <v>0</v>
      </c>
      <c r="I139" s="724">
        <v>0</v>
      </c>
      <c r="J139" s="724">
        <v>0</v>
      </c>
      <c r="K139" s="724">
        <v>3600</v>
      </c>
      <c r="L139" s="725">
        <v>0</v>
      </c>
      <c r="M139" s="737">
        <f t="shared" si="21"/>
        <v>0</v>
      </c>
      <c r="N139" s="726">
        <v>0</v>
      </c>
      <c r="O139" s="724">
        <v>0</v>
      </c>
      <c r="P139" s="725">
        <v>0</v>
      </c>
      <c r="Q139" s="719"/>
    </row>
    <row r="140" spans="1:17" s="748" customFormat="1" ht="12">
      <c r="A140" s="839">
        <f t="shared" si="22"/>
        <v>34</v>
      </c>
      <c r="B140" s="585" t="s">
        <v>953</v>
      </c>
      <c r="C140" s="811" t="s">
        <v>926</v>
      </c>
      <c r="D140" s="735" t="s">
        <v>884</v>
      </c>
      <c r="E140" s="822" t="s">
        <v>844</v>
      </c>
      <c r="F140" s="736">
        <f t="shared" si="19"/>
        <v>0</v>
      </c>
      <c r="G140" s="737">
        <f t="shared" si="20"/>
        <v>0</v>
      </c>
      <c r="H140" s="705">
        <v>0</v>
      </c>
      <c r="I140" s="724">
        <v>0</v>
      </c>
      <c r="J140" s="724">
        <v>0</v>
      </c>
      <c r="K140" s="724">
        <v>0</v>
      </c>
      <c r="L140" s="725">
        <v>0</v>
      </c>
      <c r="M140" s="737">
        <f t="shared" si="21"/>
        <v>0</v>
      </c>
      <c r="N140" s="726">
        <v>0</v>
      </c>
      <c r="O140" s="724">
        <v>0</v>
      </c>
      <c r="P140" s="725">
        <v>0</v>
      </c>
      <c r="Q140" s="719"/>
    </row>
    <row r="141" spans="1:17" s="748" customFormat="1" ht="12">
      <c r="A141" s="839">
        <f t="shared" si="22"/>
        <v>35</v>
      </c>
      <c r="B141" s="478" t="s">
        <v>947</v>
      </c>
      <c r="C141" s="812" t="s">
        <v>948</v>
      </c>
      <c r="D141" s="735" t="s">
        <v>882</v>
      </c>
      <c r="E141" s="826" t="s">
        <v>842</v>
      </c>
      <c r="F141" s="736">
        <f t="shared" si="19"/>
        <v>0</v>
      </c>
      <c r="G141" s="737">
        <f t="shared" si="20"/>
        <v>0</v>
      </c>
      <c r="H141" s="705">
        <v>0</v>
      </c>
      <c r="I141" s="724">
        <v>0</v>
      </c>
      <c r="J141" s="724">
        <v>0</v>
      </c>
      <c r="K141" s="724">
        <v>0</v>
      </c>
      <c r="L141" s="725">
        <v>0</v>
      </c>
      <c r="M141" s="737">
        <f t="shared" si="21"/>
        <v>0</v>
      </c>
      <c r="N141" s="726">
        <v>0</v>
      </c>
      <c r="O141" s="724">
        <v>0</v>
      </c>
      <c r="P141" s="725">
        <v>0</v>
      </c>
      <c r="Q141" s="719"/>
    </row>
    <row r="142" spans="1:17" s="748" customFormat="1" ht="12">
      <c r="A142" s="839">
        <f t="shared" si="22"/>
        <v>36</v>
      </c>
      <c r="B142" s="478" t="s">
        <v>955</v>
      </c>
      <c r="C142" s="812" t="s">
        <v>954</v>
      </c>
      <c r="D142" s="735" t="s">
        <v>885</v>
      </c>
      <c r="E142" s="826" t="s">
        <v>845</v>
      </c>
      <c r="F142" s="736">
        <f t="shared" si="19"/>
        <v>0</v>
      </c>
      <c r="G142" s="737">
        <f t="shared" si="20"/>
        <v>0</v>
      </c>
      <c r="H142" s="705">
        <v>0</v>
      </c>
      <c r="I142" s="724">
        <v>0</v>
      </c>
      <c r="J142" s="724">
        <v>0</v>
      </c>
      <c r="K142" s="724">
        <v>0</v>
      </c>
      <c r="L142" s="725">
        <v>0</v>
      </c>
      <c r="M142" s="737">
        <f t="shared" si="21"/>
        <v>0</v>
      </c>
      <c r="N142" s="726">
        <v>0</v>
      </c>
      <c r="O142" s="724">
        <v>0</v>
      </c>
      <c r="P142" s="725">
        <v>0</v>
      </c>
      <c r="Q142" s="719"/>
    </row>
    <row r="143" spans="1:17" s="748" customFormat="1" ht="12">
      <c r="A143" s="839">
        <f t="shared" si="22"/>
        <v>37</v>
      </c>
      <c r="B143" s="478" t="s">
        <v>955</v>
      </c>
      <c r="C143" s="812" t="s">
        <v>954</v>
      </c>
      <c r="D143" s="735" t="s">
        <v>886</v>
      </c>
      <c r="E143" s="826" t="s">
        <v>846</v>
      </c>
      <c r="F143" s="736">
        <f t="shared" si="19"/>
        <v>225</v>
      </c>
      <c r="G143" s="737">
        <f t="shared" si="20"/>
        <v>225</v>
      </c>
      <c r="H143" s="705">
        <v>0</v>
      </c>
      <c r="I143" s="724">
        <v>0</v>
      </c>
      <c r="J143" s="724">
        <v>0</v>
      </c>
      <c r="K143" s="724">
        <v>225</v>
      </c>
      <c r="L143" s="725">
        <v>0</v>
      </c>
      <c r="M143" s="737">
        <f t="shared" si="21"/>
        <v>0</v>
      </c>
      <c r="N143" s="726">
        <v>0</v>
      </c>
      <c r="O143" s="724">
        <v>0</v>
      </c>
      <c r="P143" s="725">
        <v>0</v>
      </c>
      <c r="Q143" s="719"/>
    </row>
    <row r="144" spans="1:17" s="748" customFormat="1" ht="12">
      <c r="A144" s="839">
        <f t="shared" si="22"/>
        <v>38</v>
      </c>
      <c r="B144" s="478" t="s">
        <v>955</v>
      </c>
      <c r="C144" s="812" t="s">
        <v>954</v>
      </c>
      <c r="D144" s="749" t="s">
        <v>887</v>
      </c>
      <c r="E144" s="826" t="s">
        <v>847</v>
      </c>
      <c r="F144" s="736">
        <f t="shared" si="19"/>
        <v>2000</v>
      </c>
      <c r="G144" s="737">
        <f t="shared" si="20"/>
        <v>2000</v>
      </c>
      <c r="H144" s="705">
        <v>0</v>
      </c>
      <c r="I144" s="724">
        <v>0</v>
      </c>
      <c r="J144" s="724">
        <v>0</v>
      </c>
      <c r="K144" s="724">
        <v>2000</v>
      </c>
      <c r="L144" s="725">
        <v>0</v>
      </c>
      <c r="M144" s="737">
        <f t="shared" si="21"/>
        <v>0</v>
      </c>
      <c r="N144" s="726">
        <v>0</v>
      </c>
      <c r="O144" s="724">
        <v>0</v>
      </c>
      <c r="P144" s="725">
        <v>0</v>
      </c>
      <c r="Q144" s="719"/>
    </row>
    <row r="145" spans="1:17" s="748" customFormat="1" ht="12">
      <c r="A145" s="839">
        <f t="shared" si="22"/>
        <v>39</v>
      </c>
      <c r="B145" s="478" t="s">
        <v>955</v>
      </c>
      <c r="C145" s="812" t="s">
        <v>954</v>
      </c>
      <c r="D145" s="735" t="s">
        <v>889</v>
      </c>
      <c r="E145" s="826" t="s">
        <v>848</v>
      </c>
      <c r="F145" s="736">
        <f t="shared" si="19"/>
        <v>0</v>
      </c>
      <c r="G145" s="737">
        <f t="shared" si="20"/>
        <v>0</v>
      </c>
      <c r="H145" s="705">
        <v>0</v>
      </c>
      <c r="I145" s="724">
        <v>0</v>
      </c>
      <c r="J145" s="724">
        <v>0</v>
      </c>
      <c r="K145" s="724">
        <v>0</v>
      </c>
      <c r="L145" s="725">
        <v>0</v>
      </c>
      <c r="M145" s="737">
        <f t="shared" si="21"/>
        <v>0</v>
      </c>
      <c r="N145" s="726">
        <v>0</v>
      </c>
      <c r="O145" s="724">
        <v>0</v>
      </c>
      <c r="P145" s="725">
        <v>0</v>
      </c>
      <c r="Q145" s="719"/>
    </row>
    <row r="146" spans="1:17" s="748" customFormat="1" ht="12">
      <c r="A146" s="839">
        <f t="shared" si="22"/>
        <v>40</v>
      </c>
      <c r="B146" s="478" t="s">
        <v>955</v>
      </c>
      <c r="C146" s="812" t="s">
        <v>954</v>
      </c>
      <c r="D146" s="735" t="s">
        <v>893</v>
      </c>
      <c r="E146" s="826" t="s">
        <v>851</v>
      </c>
      <c r="F146" s="736">
        <f t="shared" si="19"/>
        <v>0</v>
      </c>
      <c r="G146" s="737">
        <f t="shared" si="20"/>
        <v>0</v>
      </c>
      <c r="H146" s="705">
        <v>0</v>
      </c>
      <c r="I146" s="724">
        <v>0</v>
      </c>
      <c r="J146" s="724">
        <v>0</v>
      </c>
      <c r="K146" s="724">
        <v>0</v>
      </c>
      <c r="L146" s="725">
        <v>0</v>
      </c>
      <c r="M146" s="737">
        <f t="shared" si="21"/>
        <v>0</v>
      </c>
      <c r="N146" s="726">
        <v>0</v>
      </c>
      <c r="O146" s="724">
        <v>0</v>
      </c>
      <c r="P146" s="725">
        <v>0</v>
      </c>
      <c r="Q146" s="719"/>
    </row>
    <row r="147" spans="1:17" s="748" customFormat="1" ht="12">
      <c r="A147" s="839">
        <f t="shared" si="22"/>
        <v>41</v>
      </c>
      <c r="B147" s="478" t="s">
        <v>945</v>
      </c>
      <c r="C147" s="812" t="s">
        <v>946</v>
      </c>
      <c r="D147" s="735" t="s">
        <v>881</v>
      </c>
      <c r="E147" s="826" t="s">
        <v>944</v>
      </c>
      <c r="F147" s="736">
        <f t="shared" si="19"/>
        <v>215080</v>
      </c>
      <c r="G147" s="737">
        <f t="shared" si="20"/>
        <v>215080</v>
      </c>
      <c r="H147" s="705">
        <v>0</v>
      </c>
      <c r="I147" s="724">
        <v>0</v>
      </c>
      <c r="J147" s="724">
        <v>5080</v>
      </c>
      <c r="K147" s="724">
        <v>210000</v>
      </c>
      <c r="L147" s="725">
        <v>0</v>
      </c>
      <c r="M147" s="737">
        <f t="shared" si="21"/>
        <v>0</v>
      </c>
      <c r="N147" s="726">
        <v>0</v>
      </c>
      <c r="O147" s="724">
        <v>0</v>
      </c>
      <c r="P147" s="725">
        <v>0</v>
      </c>
      <c r="Q147" s="719"/>
    </row>
    <row r="148" spans="1:17" s="748" customFormat="1" ht="12">
      <c r="A148" s="839">
        <f t="shared" si="22"/>
        <v>42</v>
      </c>
      <c r="B148" s="478" t="s">
        <v>949</v>
      </c>
      <c r="C148" s="812" t="s">
        <v>950</v>
      </c>
      <c r="D148" s="735" t="s">
        <v>883</v>
      </c>
      <c r="E148" s="826" t="s">
        <v>843</v>
      </c>
      <c r="F148" s="736">
        <f t="shared" si="19"/>
        <v>43000</v>
      </c>
      <c r="G148" s="737">
        <f t="shared" si="20"/>
        <v>43000</v>
      </c>
      <c r="H148" s="705">
        <v>0</v>
      </c>
      <c r="I148" s="724">
        <v>0</v>
      </c>
      <c r="J148" s="724">
        <v>0</v>
      </c>
      <c r="K148" s="724">
        <v>43000</v>
      </c>
      <c r="L148" s="725">
        <v>0</v>
      </c>
      <c r="M148" s="737">
        <f t="shared" si="21"/>
        <v>0</v>
      </c>
      <c r="N148" s="726">
        <v>0</v>
      </c>
      <c r="O148" s="724">
        <v>0</v>
      </c>
      <c r="P148" s="725">
        <v>0</v>
      </c>
      <c r="Q148" s="719"/>
    </row>
    <row r="149" spans="1:17" s="748" customFormat="1" ht="12">
      <c r="A149" s="839">
        <f t="shared" si="22"/>
        <v>43</v>
      </c>
      <c r="B149" s="475" t="s">
        <v>956</v>
      </c>
      <c r="C149" s="814" t="s">
        <v>957</v>
      </c>
      <c r="D149" s="743" t="s">
        <v>888</v>
      </c>
      <c r="E149" s="827" t="s">
        <v>1393</v>
      </c>
      <c r="F149" s="736">
        <f t="shared" si="19"/>
        <v>6000</v>
      </c>
      <c r="G149" s="737">
        <f t="shared" si="20"/>
        <v>6000</v>
      </c>
      <c r="H149" s="705">
        <v>0</v>
      </c>
      <c r="I149" s="724">
        <v>0</v>
      </c>
      <c r="J149" s="724">
        <v>0</v>
      </c>
      <c r="K149" s="724">
        <v>6000</v>
      </c>
      <c r="L149" s="725">
        <v>0</v>
      </c>
      <c r="M149" s="737">
        <f t="shared" si="21"/>
        <v>0</v>
      </c>
      <c r="N149" s="726">
        <v>0</v>
      </c>
      <c r="O149" s="724">
        <v>0</v>
      </c>
      <c r="P149" s="725">
        <v>0</v>
      </c>
      <c r="Q149" s="719"/>
    </row>
    <row r="150" spans="1:17" ht="12">
      <c r="A150" s="839">
        <f t="shared" si="22"/>
        <v>44</v>
      </c>
      <c r="B150" s="475" t="s">
        <v>956</v>
      </c>
      <c r="C150" s="814" t="s">
        <v>965</v>
      </c>
      <c r="D150" s="743" t="s">
        <v>892</v>
      </c>
      <c r="E150" s="827" t="s">
        <v>850</v>
      </c>
      <c r="F150" s="736">
        <f t="shared" si="19"/>
        <v>2000</v>
      </c>
      <c r="G150" s="737">
        <f t="shared" si="20"/>
        <v>2000</v>
      </c>
      <c r="H150" s="705">
        <v>0</v>
      </c>
      <c r="I150" s="724">
        <v>0</v>
      </c>
      <c r="J150" s="724">
        <v>0</v>
      </c>
      <c r="K150" s="724">
        <v>2000</v>
      </c>
      <c r="L150" s="725">
        <v>0</v>
      </c>
      <c r="M150" s="737">
        <f t="shared" si="21"/>
        <v>0</v>
      </c>
      <c r="N150" s="726">
        <v>0</v>
      </c>
      <c r="O150" s="724">
        <v>0</v>
      </c>
      <c r="P150" s="725">
        <v>0</v>
      </c>
      <c r="Q150" s="719"/>
    </row>
    <row r="151" spans="1:17" ht="12">
      <c r="A151" s="839">
        <f t="shared" si="22"/>
        <v>45</v>
      </c>
      <c r="B151" s="478" t="s">
        <v>938</v>
      </c>
      <c r="C151" s="812" t="s">
        <v>937</v>
      </c>
      <c r="D151" s="735" t="s">
        <v>879</v>
      </c>
      <c r="E151" s="826" t="s">
        <v>840</v>
      </c>
      <c r="F151" s="736">
        <f t="shared" si="19"/>
        <v>22020</v>
      </c>
      <c r="G151" s="737">
        <f t="shared" si="20"/>
        <v>22020</v>
      </c>
      <c r="H151" s="705">
        <v>0</v>
      </c>
      <c r="I151" s="724">
        <v>0</v>
      </c>
      <c r="J151" s="724">
        <v>22020</v>
      </c>
      <c r="K151" s="724">
        <v>0</v>
      </c>
      <c r="L151" s="725">
        <v>0</v>
      </c>
      <c r="M151" s="737">
        <f t="shared" si="21"/>
        <v>0</v>
      </c>
      <c r="N151" s="726">
        <v>0</v>
      </c>
      <c r="O151" s="724">
        <v>0</v>
      </c>
      <c r="P151" s="725">
        <v>0</v>
      </c>
      <c r="Q151" s="719"/>
    </row>
    <row r="152" spans="1:17" ht="12.75" thickBot="1">
      <c r="A152" s="839">
        <f t="shared" si="22"/>
        <v>46</v>
      </c>
      <c r="B152" s="585" t="s">
        <v>38</v>
      </c>
      <c r="C152" s="811" t="s">
        <v>961</v>
      </c>
      <c r="D152" s="723" t="s">
        <v>1006</v>
      </c>
      <c r="E152" s="828" t="s">
        <v>1301</v>
      </c>
      <c r="F152" s="736">
        <f t="shared" si="19"/>
        <v>0</v>
      </c>
      <c r="G152" s="737">
        <f t="shared" si="20"/>
        <v>0</v>
      </c>
      <c r="H152" s="705">
        <v>0</v>
      </c>
      <c r="I152" s="724">
        <v>0</v>
      </c>
      <c r="J152" s="724">
        <v>0</v>
      </c>
      <c r="K152" s="724">
        <v>0</v>
      </c>
      <c r="L152" s="725">
        <v>0</v>
      </c>
      <c r="M152" s="737">
        <f t="shared" si="21"/>
        <v>0</v>
      </c>
      <c r="N152" s="726">
        <v>0</v>
      </c>
      <c r="O152" s="724">
        <v>0</v>
      </c>
      <c r="P152" s="725">
        <v>0</v>
      </c>
      <c r="Q152" s="719"/>
    </row>
    <row r="153" spans="1:17" ht="12.75" thickBot="1">
      <c r="A153" s="829" t="s">
        <v>765</v>
      </c>
      <c r="B153" s="1266" t="s">
        <v>482</v>
      </c>
      <c r="C153" s="1267"/>
      <c r="D153" s="1267"/>
      <c r="E153" s="1268"/>
      <c r="F153" s="753">
        <f>SUM(F107:F152)</f>
        <v>908656</v>
      </c>
      <c r="G153" s="795">
        <f aca="true" t="shared" si="23" ref="G153:P153">SUM(G107:G152)</f>
        <v>835877</v>
      </c>
      <c r="H153" s="796">
        <f t="shared" si="23"/>
        <v>185664</v>
      </c>
      <c r="I153" s="797">
        <f t="shared" si="23"/>
        <v>25244</v>
      </c>
      <c r="J153" s="797">
        <f t="shared" si="23"/>
        <v>268446</v>
      </c>
      <c r="K153" s="797">
        <f t="shared" si="23"/>
        <v>266825</v>
      </c>
      <c r="L153" s="570">
        <f t="shared" si="23"/>
        <v>89698</v>
      </c>
      <c r="M153" s="798">
        <f t="shared" si="23"/>
        <v>72779</v>
      </c>
      <c r="N153" s="796">
        <f t="shared" si="23"/>
        <v>72779</v>
      </c>
      <c r="O153" s="797">
        <f t="shared" si="23"/>
        <v>0</v>
      </c>
      <c r="P153" s="570">
        <f t="shared" si="23"/>
        <v>0</v>
      </c>
      <c r="Q153" s="719"/>
    </row>
    <row r="154" spans="1:17" ht="12">
      <c r="A154" s="839">
        <f>+A152+1</f>
        <v>47</v>
      </c>
      <c r="B154" s="585" t="s">
        <v>1022</v>
      </c>
      <c r="C154" s="811" t="s">
        <v>1023</v>
      </c>
      <c r="D154" s="723" t="s">
        <v>901</v>
      </c>
      <c r="E154" s="828" t="s">
        <v>859</v>
      </c>
      <c r="F154" s="736">
        <f aca="true" t="shared" si="24" ref="F154:F166">+G154+M154</f>
        <v>0</v>
      </c>
      <c r="G154" s="737">
        <f aca="true" t="shared" si="25" ref="G154:G166">+H154+I154+J154+K154+L154</f>
        <v>0</v>
      </c>
      <c r="H154" s="705">
        <v>0</v>
      </c>
      <c r="I154" s="706">
        <v>0</v>
      </c>
      <c r="J154" s="706">
        <v>0</v>
      </c>
      <c r="K154" s="706">
        <v>0</v>
      </c>
      <c r="L154" s="707">
        <v>0</v>
      </c>
      <c r="M154" s="737">
        <f aca="true" t="shared" si="26" ref="M154:M166">+N154+O154+P154</f>
        <v>0</v>
      </c>
      <c r="N154" s="705">
        <v>0</v>
      </c>
      <c r="O154" s="706">
        <v>0</v>
      </c>
      <c r="P154" s="707">
        <v>0</v>
      </c>
      <c r="Q154" s="719"/>
    </row>
    <row r="155" spans="1:17" ht="12">
      <c r="A155" s="840">
        <f>+A154+1</f>
        <v>48</v>
      </c>
      <c r="B155" s="585" t="s">
        <v>1026</v>
      </c>
      <c r="C155" s="811" t="s">
        <v>1027</v>
      </c>
      <c r="D155" s="723" t="s">
        <v>915</v>
      </c>
      <c r="E155" s="750" t="s">
        <v>872</v>
      </c>
      <c r="F155" s="736">
        <f t="shared" si="24"/>
        <v>0</v>
      </c>
      <c r="G155" s="737">
        <f t="shared" si="25"/>
        <v>0</v>
      </c>
      <c r="H155" s="705">
        <v>0</v>
      </c>
      <c r="I155" s="724">
        <v>0</v>
      </c>
      <c r="J155" s="724">
        <v>0</v>
      </c>
      <c r="K155" s="724">
        <v>0</v>
      </c>
      <c r="L155" s="725">
        <v>0</v>
      </c>
      <c r="M155" s="737">
        <f t="shared" si="26"/>
        <v>0</v>
      </c>
      <c r="N155" s="726">
        <v>0</v>
      </c>
      <c r="O155" s="724">
        <v>0</v>
      </c>
      <c r="P155" s="725">
        <v>0</v>
      </c>
      <c r="Q155" s="719"/>
    </row>
    <row r="156" spans="1:17" ht="12">
      <c r="A156" s="840">
        <f aca="true" t="shared" si="27" ref="A156:A166">+A155+1</f>
        <v>49</v>
      </c>
      <c r="B156" s="478" t="s">
        <v>978</v>
      </c>
      <c r="C156" s="812" t="s">
        <v>856</v>
      </c>
      <c r="D156" s="735" t="s">
        <v>898</v>
      </c>
      <c r="E156" s="741" t="s">
        <v>1058</v>
      </c>
      <c r="F156" s="736">
        <f t="shared" si="24"/>
        <v>7110</v>
      </c>
      <c r="G156" s="737">
        <f t="shared" si="25"/>
        <v>7110</v>
      </c>
      <c r="H156" s="705">
        <v>4904</v>
      </c>
      <c r="I156" s="724">
        <v>1275</v>
      </c>
      <c r="J156" s="724">
        <v>931</v>
      </c>
      <c r="K156" s="724">
        <v>0</v>
      </c>
      <c r="L156" s="725">
        <v>0</v>
      </c>
      <c r="M156" s="737">
        <f t="shared" si="26"/>
        <v>0</v>
      </c>
      <c r="N156" s="726">
        <v>0</v>
      </c>
      <c r="O156" s="724">
        <v>0</v>
      </c>
      <c r="P156" s="725">
        <v>0</v>
      </c>
      <c r="Q156" s="719"/>
    </row>
    <row r="157" spans="1:17" ht="12">
      <c r="A157" s="840">
        <f t="shared" si="27"/>
        <v>50</v>
      </c>
      <c r="B157" s="585" t="s">
        <v>1024</v>
      </c>
      <c r="C157" s="811" t="s">
        <v>1025</v>
      </c>
      <c r="D157" s="735" t="s">
        <v>914</v>
      </c>
      <c r="E157" s="740" t="s">
        <v>871</v>
      </c>
      <c r="F157" s="736">
        <f t="shared" si="24"/>
        <v>0</v>
      </c>
      <c r="G157" s="737">
        <f t="shared" si="25"/>
        <v>0</v>
      </c>
      <c r="H157" s="705">
        <v>0</v>
      </c>
      <c r="I157" s="724">
        <v>0</v>
      </c>
      <c r="J157" s="724">
        <v>0</v>
      </c>
      <c r="K157" s="724">
        <v>0</v>
      </c>
      <c r="L157" s="725">
        <v>0</v>
      </c>
      <c r="M157" s="737">
        <f t="shared" si="26"/>
        <v>0</v>
      </c>
      <c r="N157" s="726">
        <v>0</v>
      </c>
      <c r="O157" s="724">
        <v>0</v>
      </c>
      <c r="P157" s="725">
        <v>0</v>
      </c>
      <c r="Q157" s="719"/>
    </row>
    <row r="158" spans="1:17" ht="12">
      <c r="A158" s="840">
        <f t="shared" si="27"/>
        <v>51</v>
      </c>
      <c r="B158" s="478" t="s">
        <v>1029</v>
      </c>
      <c r="C158" s="812" t="s">
        <v>1028</v>
      </c>
      <c r="D158" s="735" t="s">
        <v>916</v>
      </c>
      <c r="E158" s="740" t="s">
        <v>930</v>
      </c>
      <c r="F158" s="736">
        <f t="shared" si="24"/>
        <v>2000</v>
      </c>
      <c r="G158" s="737">
        <f t="shared" si="25"/>
        <v>2000</v>
      </c>
      <c r="H158" s="705">
        <v>0</v>
      </c>
      <c r="I158" s="724">
        <v>0</v>
      </c>
      <c r="J158" s="724">
        <v>0</v>
      </c>
      <c r="K158" s="724">
        <v>0</v>
      </c>
      <c r="L158" s="725">
        <v>2000</v>
      </c>
      <c r="M158" s="737">
        <f t="shared" si="26"/>
        <v>0</v>
      </c>
      <c r="N158" s="726">
        <v>0</v>
      </c>
      <c r="O158" s="724">
        <v>0</v>
      </c>
      <c r="P158" s="725">
        <v>0</v>
      </c>
      <c r="Q158" s="719"/>
    </row>
    <row r="159" spans="1:17" ht="12">
      <c r="A159" s="840">
        <f t="shared" si="27"/>
        <v>52</v>
      </c>
      <c r="B159" s="600" t="s">
        <v>963</v>
      </c>
      <c r="C159" s="813" t="s">
        <v>964</v>
      </c>
      <c r="D159" s="743" t="s">
        <v>913</v>
      </c>
      <c r="E159" s="742" t="s">
        <v>962</v>
      </c>
      <c r="F159" s="736">
        <f t="shared" si="24"/>
        <v>750</v>
      </c>
      <c r="G159" s="737">
        <f t="shared" si="25"/>
        <v>750</v>
      </c>
      <c r="H159" s="705">
        <v>0</v>
      </c>
      <c r="I159" s="724">
        <v>0</v>
      </c>
      <c r="J159" s="724">
        <v>0</v>
      </c>
      <c r="K159" s="724">
        <v>0</v>
      </c>
      <c r="L159" s="725">
        <v>750</v>
      </c>
      <c r="M159" s="737">
        <f t="shared" si="26"/>
        <v>0</v>
      </c>
      <c r="N159" s="726">
        <v>0</v>
      </c>
      <c r="O159" s="724">
        <v>0</v>
      </c>
      <c r="P159" s="725">
        <v>0</v>
      </c>
      <c r="Q159" s="719"/>
    </row>
    <row r="160" spans="1:17" ht="12">
      <c r="A160" s="840">
        <f t="shared" si="27"/>
        <v>53</v>
      </c>
      <c r="B160" s="478" t="s">
        <v>952</v>
      </c>
      <c r="C160" s="812" t="s">
        <v>951</v>
      </c>
      <c r="D160" s="735" t="s">
        <v>910</v>
      </c>
      <c r="E160" s="741" t="s">
        <v>868</v>
      </c>
      <c r="F160" s="710">
        <f t="shared" si="24"/>
        <v>0</v>
      </c>
      <c r="G160" s="711">
        <f t="shared" si="25"/>
        <v>0</v>
      </c>
      <c r="H160" s="705">
        <v>0</v>
      </c>
      <c r="I160" s="706">
        <v>0</v>
      </c>
      <c r="J160" s="706">
        <v>0</v>
      </c>
      <c r="K160" s="706">
        <v>0</v>
      </c>
      <c r="L160" s="707">
        <v>0</v>
      </c>
      <c r="M160" s="711">
        <f t="shared" si="26"/>
        <v>0</v>
      </c>
      <c r="N160" s="705">
        <v>0</v>
      </c>
      <c r="O160" s="706">
        <v>0</v>
      </c>
      <c r="P160" s="707">
        <v>0</v>
      </c>
      <c r="Q160" s="719"/>
    </row>
    <row r="161" spans="1:17" ht="12">
      <c r="A161" s="840">
        <f t="shared" si="27"/>
        <v>54</v>
      </c>
      <c r="B161" s="585" t="s">
        <v>953</v>
      </c>
      <c r="C161" s="811" t="s">
        <v>926</v>
      </c>
      <c r="D161" s="735" t="s">
        <v>910</v>
      </c>
      <c r="E161" s="741" t="s">
        <v>868</v>
      </c>
      <c r="F161" s="736">
        <f t="shared" si="24"/>
        <v>0</v>
      </c>
      <c r="G161" s="737">
        <f t="shared" si="25"/>
        <v>0</v>
      </c>
      <c r="H161" s="705">
        <v>0</v>
      </c>
      <c r="I161" s="724">
        <v>0</v>
      </c>
      <c r="J161" s="724">
        <v>0</v>
      </c>
      <c r="K161" s="724">
        <v>0</v>
      </c>
      <c r="L161" s="725">
        <v>0</v>
      </c>
      <c r="M161" s="737">
        <f t="shared" si="26"/>
        <v>0</v>
      </c>
      <c r="N161" s="726">
        <v>0</v>
      </c>
      <c r="O161" s="724">
        <v>0</v>
      </c>
      <c r="P161" s="725">
        <v>0</v>
      </c>
      <c r="Q161" s="719"/>
    </row>
    <row r="162" spans="1:17" ht="12">
      <c r="A162" s="840">
        <f t="shared" si="27"/>
        <v>55</v>
      </c>
      <c r="B162" s="478" t="s">
        <v>959</v>
      </c>
      <c r="C162" s="812" t="s">
        <v>958</v>
      </c>
      <c r="D162" s="735" t="s">
        <v>912</v>
      </c>
      <c r="E162" s="740" t="s">
        <v>870</v>
      </c>
      <c r="F162" s="736">
        <f t="shared" si="24"/>
        <v>0</v>
      </c>
      <c r="G162" s="737">
        <f t="shared" si="25"/>
        <v>0</v>
      </c>
      <c r="H162" s="705">
        <v>0</v>
      </c>
      <c r="I162" s="724">
        <v>0</v>
      </c>
      <c r="J162" s="724">
        <v>0</v>
      </c>
      <c r="K162" s="724">
        <v>0</v>
      </c>
      <c r="L162" s="725">
        <v>0</v>
      </c>
      <c r="M162" s="737">
        <f t="shared" si="26"/>
        <v>0</v>
      </c>
      <c r="N162" s="726">
        <v>0</v>
      </c>
      <c r="O162" s="724">
        <v>0</v>
      </c>
      <c r="P162" s="725">
        <v>0</v>
      </c>
      <c r="Q162" s="719"/>
    </row>
    <row r="163" spans="1:25" s="748" customFormat="1" ht="12">
      <c r="A163" s="840">
        <f t="shared" si="27"/>
        <v>56</v>
      </c>
      <c r="B163" s="585" t="s">
        <v>949</v>
      </c>
      <c r="C163" s="811" t="s">
        <v>950</v>
      </c>
      <c r="D163" s="735" t="s">
        <v>909</v>
      </c>
      <c r="E163" s="741" t="s">
        <v>867</v>
      </c>
      <c r="F163" s="736">
        <f t="shared" si="24"/>
        <v>0</v>
      </c>
      <c r="G163" s="737">
        <f t="shared" si="25"/>
        <v>0</v>
      </c>
      <c r="H163" s="705">
        <v>0</v>
      </c>
      <c r="I163" s="724">
        <v>0</v>
      </c>
      <c r="J163" s="724">
        <v>0</v>
      </c>
      <c r="K163" s="724">
        <v>0</v>
      </c>
      <c r="L163" s="725">
        <v>0</v>
      </c>
      <c r="M163" s="737">
        <f t="shared" si="26"/>
        <v>0</v>
      </c>
      <c r="N163" s="726">
        <v>0</v>
      </c>
      <c r="O163" s="724">
        <v>0</v>
      </c>
      <c r="P163" s="725">
        <v>0</v>
      </c>
      <c r="Q163" s="719"/>
      <c r="R163" s="393"/>
      <c r="S163" s="393"/>
      <c r="T163" s="393"/>
      <c r="U163" s="393"/>
      <c r="V163" s="393"/>
      <c r="W163" s="393"/>
      <c r="X163" s="393"/>
      <c r="Y163" s="393"/>
    </row>
    <row r="164" spans="1:17" ht="12">
      <c r="A164" s="840">
        <f t="shared" si="27"/>
        <v>57</v>
      </c>
      <c r="B164" s="478" t="s">
        <v>949</v>
      </c>
      <c r="C164" s="812" t="s">
        <v>950</v>
      </c>
      <c r="D164" s="735" t="s">
        <v>911</v>
      </c>
      <c r="E164" s="741" t="s">
        <v>869</v>
      </c>
      <c r="F164" s="736">
        <f t="shared" si="24"/>
        <v>0</v>
      </c>
      <c r="G164" s="737">
        <f t="shared" si="25"/>
        <v>0</v>
      </c>
      <c r="H164" s="705">
        <v>0</v>
      </c>
      <c r="I164" s="724">
        <v>0</v>
      </c>
      <c r="J164" s="724">
        <v>0</v>
      </c>
      <c r="K164" s="724">
        <v>0</v>
      </c>
      <c r="L164" s="725">
        <v>0</v>
      </c>
      <c r="M164" s="737">
        <f t="shared" si="26"/>
        <v>0</v>
      </c>
      <c r="N164" s="726">
        <v>0</v>
      </c>
      <c r="O164" s="724">
        <v>0</v>
      </c>
      <c r="P164" s="725">
        <v>0</v>
      </c>
      <c r="Q164" s="719"/>
    </row>
    <row r="165" spans="1:17" ht="12">
      <c r="A165" s="840">
        <f t="shared" si="27"/>
        <v>58</v>
      </c>
      <c r="B165" s="585" t="s">
        <v>38</v>
      </c>
      <c r="C165" s="811" t="s">
        <v>1020</v>
      </c>
      <c r="D165" s="735" t="s">
        <v>1021</v>
      </c>
      <c r="E165" s="740" t="s">
        <v>866</v>
      </c>
      <c r="F165" s="736">
        <f t="shared" si="24"/>
        <v>1850</v>
      </c>
      <c r="G165" s="737">
        <f t="shared" si="25"/>
        <v>1850</v>
      </c>
      <c r="H165" s="705">
        <v>0</v>
      </c>
      <c r="I165" s="724">
        <v>0</v>
      </c>
      <c r="J165" s="724">
        <v>1850</v>
      </c>
      <c r="K165" s="724">
        <v>0</v>
      </c>
      <c r="L165" s="725">
        <v>0</v>
      </c>
      <c r="M165" s="737">
        <f t="shared" si="26"/>
        <v>0</v>
      </c>
      <c r="N165" s="726">
        <v>0</v>
      </c>
      <c r="O165" s="724">
        <v>0</v>
      </c>
      <c r="P165" s="725">
        <v>0</v>
      </c>
      <c r="Q165" s="718"/>
    </row>
    <row r="166" spans="1:17" ht="12.75" thickBot="1">
      <c r="A166" s="840">
        <f t="shared" si="27"/>
        <v>59</v>
      </c>
      <c r="B166" s="478" t="s">
        <v>38</v>
      </c>
      <c r="C166" s="812" t="s">
        <v>961</v>
      </c>
      <c r="D166" s="735" t="s">
        <v>890</v>
      </c>
      <c r="E166" s="740" t="s">
        <v>960</v>
      </c>
      <c r="F166" s="736">
        <f t="shared" si="24"/>
        <v>0</v>
      </c>
      <c r="G166" s="737">
        <f t="shared" si="25"/>
        <v>0</v>
      </c>
      <c r="H166" s="705">
        <v>0</v>
      </c>
      <c r="I166" s="724">
        <v>0</v>
      </c>
      <c r="J166" s="724">
        <v>0</v>
      </c>
      <c r="K166" s="724">
        <v>0</v>
      </c>
      <c r="L166" s="725">
        <v>0</v>
      </c>
      <c r="M166" s="737">
        <f t="shared" si="26"/>
        <v>0</v>
      </c>
      <c r="N166" s="726">
        <v>0</v>
      </c>
      <c r="O166" s="724">
        <v>0</v>
      </c>
      <c r="P166" s="725">
        <v>0</v>
      </c>
      <c r="Q166" s="719"/>
    </row>
    <row r="167" spans="1:17" ht="12.75" thickBot="1">
      <c r="A167" s="829" t="s">
        <v>766</v>
      </c>
      <c r="B167" s="1266" t="s">
        <v>483</v>
      </c>
      <c r="C167" s="1267"/>
      <c r="D167" s="1267"/>
      <c r="E167" s="1268"/>
      <c r="F167" s="753">
        <f>SUM(F154:F166)</f>
        <v>11710</v>
      </c>
      <c r="G167" s="753">
        <f aca="true" t="shared" si="28" ref="G167:P167">SUM(G154:G166)</f>
        <v>11710</v>
      </c>
      <c r="H167" s="799">
        <f t="shared" si="28"/>
        <v>4904</v>
      </c>
      <c r="I167" s="797">
        <f t="shared" si="28"/>
        <v>1275</v>
      </c>
      <c r="J167" s="797">
        <f t="shared" si="28"/>
        <v>2781</v>
      </c>
      <c r="K167" s="797">
        <f t="shared" si="28"/>
        <v>0</v>
      </c>
      <c r="L167" s="570">
        <f t="shared" si="28"/>
        <v>2750</v>
      </c>
      <c r="M167" s="798">
        <f t="shared" si="28"/>
        <v>0</v>
      </c>
      <c r="N167" s="796">
        <f t="shared" si="28"/>
        <v>0</v>
      </c>
      <c r="O167" s="797">
        <f t="shared" si="28"/>
        <v>0</v>
      </c>
      <c r="P167" s="570">
        <f t="shared" si="28"/>
        <v>0</v>
      </c>
      <c r="Q167" s="719"/>
    </row>
    <row r="168" spans="1:25" ht="24">
      <c r="A168" s="839">
        <f>+A166+1</f>
        <v>60</v>
      </c>
      <c r="B168" s="478" t="s">
        <v>1033</v>
      </c>
      <c r="C168" s="812" t="s">
        <v>1032</v>
      </c>
      <c r="D168" s="723" t="s">
        <v>918</v>
      </c>
      <c r="E168" s="722" t="s">
        <v>874</v>
      </c>
      <c r="F168" s="710">
        <f>+G168+M168</f>
        <v>0</v>
      </c>
      <c r="G168" s="711">
        <f>+H168+I168+J168+K168+L168</f>
        <v>0</v>
      </c>
      <c r="H168" s="705">
        <v>0</v>
      </c>
      <c r="I168" s="724">
        <v>0</v>
      </c>
      <c r="J168" s="724">
        <v>0</v>
      </c>
      <c r="K168" s="724">
        <v>0</v>
      </c>
      <c r="L168" s="725">
        <v>0</v>
      </c>
      <c r="M168" s="711">
        <f>+N168+O168+P168</f>
        <v>0</v>
      </c>
      <c r="N168" s="726">
        <v>0</v>
      </c>
      <c r="O168" s="724">
        <v>0</v>
      </c>
      <c r="P168" s="725">
        <v>0</v>
      </c>
      <c r="Q168" s="719"/>
      <c r="R168" s="748"/>
      <c r="S168" s="748"/>
      <c r="T168" s="748"/>
      <c r="U168" s="748"/>
      <c r="V168" s="748"/>
      <c r="W168" s="748"/>
      <c r="X168" s="748"/>
      <c r="Y168" s="748"/>
    </row>
    <row r="169" spans="1:17" ht="24">
      <c r="A169" s="839">
        <f>+A168+1</f>
        <v>61</v>
      </c>
      <c r="B169" s="478" t="s">
        <v>1033</v>
      </c>
      <c r="C169" s="812" t="s">
        <v>1032</v>
      </c>
      <c r="D169" s="723" t="s">
        <v>919</v>
      </c>
      <c r="E169" s="734" t="s">
        <v>875</v>
      </c>
      <c r="F169" s="710">
        <f>+G169+M169</f>
        <v>0</v>
      </c>
      <c r="G169" s="711">
        <f>+H169+I169+J169+K169+L169</f>
        <v>0</v>
      </c>
      <c r="H169" s="705">
        <v>0</v>
      </c>
      <c r="I169" s="724">
        <v>0</v>
      </c>
      <c r="J169" s="724">
        <v>0</v>
      </c>
      <c r="K169" s="724">
        <v>0</v>
      </c>
      <c r="L169" s="725">
        <v>0</v>
      </c>
      <c r="M169" s="711">
        <f>+N169+O169+P169</f>
        <v>0</v>
      </c>
      <c r="N169" s="726">
        <v>0</v>
      </c>
      <c r="O169" s="724">
        <v>0</v>
      </c>
      <c r="P169" s="725">
        <v>0</v>
      </c>
      <c r="Q169" s="719"/>
    </row>
    <row r="170" spans="1:17" ht="24">
      <c r="A170" s="839">
        <f>+A169+1</f>
        <v>62</v>
      </c>
      <c r="B170" s="478" t="s">
        <v>1033</v>
      </c>
      <c r="C170" s="812" t="s">
        <v>1032</v>
      </c>
      <c r="D170" s="723" t="s">
        <v>920</v>
      </c>
      <c r="E170" s="722" t="s">
        <v>1030</v>
      </c>
      <c r="F170" s="710">
        <f>+G170+M170</f>
        <v>0</v>
      </c>
      <c r="G170" s="711">
        <f>+H170+I170+J170+K170+L170</f>
        <v>0</v>
      </c>
      <c r="H170" s="705">
        <v>0</v>
      </c>
      <c r="I170" s="724">
        <v>0</v>
      </c>
      <c r="J170" s="724">
        <v>0</v>
      </c>
      <c r="K170" s="724">
        <v>0</v>
      </c>
      <c r="L170" s="725">
        <v>0</v>
      </c>
      <c r="M170" s="711">
        <f>+N170+O170+P170</f>
        <v>0</v>
      </c>
      <c r="N170" s="726">
        <v>0</v>
      </c>
      <c r="O170" s="724">
        <v>0</v>
      </c>
      <c r="P170" s="725">
        <v>0</v>
      </c>
      <c r="Q170" s="719"/>
    </row>
    <row r="171" spans="1:17" ht="24.75" thickBot="1">
      <c r="A171" s="839">
        <f>+A170+1</f>
        <v>63</v>
      </c>
      <c r="B171" s="585" t="s">
        <v>1033</v>
      </c>
      <c r="C171" s="811" t="s">
        <v>1032</v>
      </c>
      <c r="D171" s="723" t="s">
        <v>921</v>
      </c>
      <c r="E171" s="755" t="s">
        <v>1031</v>
      </c>
      <c r="F171" s="736">
        <f>+G171+M171</f>
        <v>0</v>
      </c>
      <c r="G171" s="737">
        <f>+H171+I171+J171+K171+L171</f>
        <v>0</v>
      </c>
      <c r="H171" s="726">
        <v>0</v>
      </c>
      <c r="I171" s="724">
        <v>0</v>
      </c>
      <c r="J171" s="724">
        <v>0</v>
      </c>
      <c r="K171" s="724">
        <v>0</v>
      </c>
      <c r="L171" s="725">
        <v>0</v>
      </c>
      <c r="M171" s="737">
        <f>+N171+O171+P171</f>
        <v>0</v>
      </c>
      <c r="N171" s="726">
        <v>0</v>
      </c>
      <c r="O171" s="724">
        <v>0</v>
      </c>
      <c r="P171" s="725">
        <v>0</v>
      </c>
      <c r="Q171" s="719"/>
    </row>
    <row r="172" spans="1:17" ht="12.75" thickBot="1">
      <c r="A172" s="829" t="s">
        <v>767</v>
      </c>
      <c r="B172" s="1266" t="s">
        <v>484</v>
      </c>
      <c r="C172" s="1267"/>
      <c r="D172" s="1267"/>
      <c r="E172" s="1268"/>
      <c r="F172" s="753">
        <f>SUM(F168:F171)</f>
        <v>0</v>
      </c>
      <c r="G172" s="753">
        <f aca="true" t="shared" si="29" ref="G172:P172">SUM(G168:G171)</f>
        <v>0</v>
      </c>
      <c r="H172" s="799">
        <f t="shared" si="29"/>
        <v>0</v>
      </c>
      <c r="I172" s="797">
        <f t="shared" si="29"/>
        <v>0</v>
      </c>
      <c r="J172" s="797">
        <f t="shared" si="29"/>
        <v>0</v>
      </c>
      <c r="K172" s="797">
        <f t="shared" si="29"/>
        <v>0</v>
      </c>
      <c r="L172" s="570">
        <f t="shared" si="29"/>
        <v>0</v>
      </c>
      <c r="M172" s="798">
        <f t="shared" si="29"/>
        <v>0</v>
      </c>
      <c r="N172" s="796">
        <f t="shared" si="29"/>
        <v>0</v>
      </c>
      <c r="O172" s="797">
        <f t="shared" si="29"/>
        <v>0</v>
      </c>
      <c r="P172" s="570">
        <f t="shared" si="29"/>
        <v>0</v>
      </c>
      <c r="Q172" s="719"/>
    </row>
    <row r="173" spans="1:25" s="716" customFormat="1" ht="12.75" thickBot="1">
      <c r="A173" s="830" t="s">
        <v>42</v>
      </c>
      <c r="B173" s="1269" t="s">
        <v>485</v>
      </c>
      <c r="C173" s="1270"/>
      <c r="D173" s="1270"/>
      <c r="E173" s="1271"/>
      <c r="F173" s="757">
        <f>+F153+F167+F172</f>
        <v>920366</v>
      </c>
      <c r="G173" s="757">
        <f aca="true" t="shared" si="30" ref="G173:P173">+G153+G167+G172</f>
        <v>847587</v>
      </c>
      <c r="H173" s="800">
        <f t="shared" si="30"/>
        <v>190568</v>
      </c>
      <c r="I173" s="801">
        <f t="shared" si="30"/>
        <v>26519</v>
      </c>
      <c r="J173" s="801">
        <f t="shared" si="30"/>
        <v>271227</v>
      </c>
      <c r="K173" s="801">
        <f t="shared" si="30"/>
        <v>266825</v>
      </c>
      <c r="L173" s="802">
        <f t="shared" si="30"/>
        <v>92448</v>
      </c>
      <c r="M173" s="757">
        <f t="shared" si="30"/>
        <v>72779</v>
      </c>
      <c r="N173" s="800">
        <f t="shared" si="30"/>
        <v>72779</v>
      </c>
      <c r="O173" s="801">
        <f t="shared" si="30"/>
        <v>0</v>
      </c>
      <c r="P173" s="802">
        <f t="shared" si="30"/>
        <v>0</v>
      </c>
      <c r="Q173" s="719"/>
      <c r="R173" s="393"/>
      <c r="S173" s="393"/>
      <c r="T173" s="393"/>
      <c r="U173" s="393"/>
      <c r="V173" s="393"/>
      <c r="W173" s="393"/>
      <c r="X173" s="393"/>
      <c r="Y173" s="393"/>
    </row>
    <row r="174" spans="1:17" ht="12.75" thickBot="1">
      <c r="A174" s="841"/>
      <c r="B174" s="848"/>
      <c r="C174" s="815"/>
      <c r="D174" s="763"/>
      <c r="E174" s="762"/>
      <c r="F174" s="764"/>
      <c r="G174" s="765"/>
      <c r="H174" s="766"/>
      <c r="I174" s="767"/>
      <c r="J174" s="767"/>
      <c r="K174" s="767"/>
      <c r="L174" s="768"/>
      <c r="M174" s="765"/>
      <c r="N174" s="766"/>
      <c r="O174" s="767"/>
      <c r="P174" s="768"/>
      <c r="Q174" s="719"/>
    </row>
    <row r="175" spans="1:25" s="748" customFormat="1" ht="12">
      <c r="A175" s="842">
        <f>+A171+1</f>
        <v>64</v>
      </c>
      <c r="B175" s="480" t="s">
        <v>934</v>
      </c>
      <c r="C175" s="816" t="s">
        <v>933</v>
      </c>
      <c r="D175" s="770" t="s">
        <v>922</v>
      </c>
      <c r="E175" s="769" t="s">
        <v>486</v>
      </c>
      <c r="F175" s="708">
        <f>+G175+M175</f>
        <v>42437</v>
      </c>
      <c r="G175" s="709">
        <f>+H175+I175+J175+K175+L175</f>
        <v>42437</v>
      </c>
      <c r="H175" s="702">
        <v>30615</v>
      </c>
      <c r="I175" s="703">
        <v>7508</v>
      </c>
      <c r="J175" s="703">
        <v>4314</v>
      </c>
      <c r="K175" s="703">
        <v>0</v>
      </c>
      <c r="L175" s="704">
        <v>0</v>
      </c>
      <c r="M175" s="709">
        <f>+N175+O175+P175</f>
        <v>0</v>
      </c>
      <c r="N175" s="702">
        <v>0</v>
      </c>
      <c r="O175" s="703">
        <v>0</v>
      </c>
      <c r="P175" s="704">
        <v>0</v>
      </c>
      <c r="Q175" s="719"/>
      <c r="R175" s="393"/>
      <c r="S175" s="393"/>
      <c r="T175" s="393"/>
      <c r="U175" s="393"/>
      <c r="V175" s="393"/>
      <c r="W175" s="393"/>
      <c r="X175" s="393"/>
      <c r="Y175" s="393"/>
    </row>
    <row r="176" spans="1:17" s="720" customFormat="1" ht="12">
      <c r="A176" s="839">
        <f>+A175+1</f>
        <v>65</v>
      </c>
      <c r="B176" s="478" t="s">
        <v>934</v>
      </c>
      <c r="C176" s="812" t="s">
        <v>933</v>
      </c>
      <c r="D176" s="723" t="s">
        <v>923</v>
      </c>
      <c r="E176" s="722" t="s">
        <v>932</v>
      </c>
      <c r="F176" s="710">
        <f>+G176+M176</f>
        <v>209588</v>
      </c>
      <c r="G176" s="711">
        <f>+H176+I176+J176+K176+L176</f>
        <v>205588</v>
      </c>
      <c r="H176" s="726">
        <v>109865</v>
      </c>
      <c r="I176" s="724">
        <v>25968</v>
      </c>
      <c r="J176" s="724">
        <v>69755</v>
      </c>
      <c r="K176" s="724">
        <v>0</v>
      </c>
      <c r="L176" s="725">
        <v>0</v>
      </c>
      <c r="M176" s="711">
        <f>+N176+O176+P176</f>
        <v>4000</v>
      </c>
      <c r="N176" s="726">
        <v>4000</v>
      </c>
      <c r="O176" s="724">
        <v>0</v>
      </c>
      <c r="P176" s="725">
        <v>0</v>
      </c>
      <c r="Q176" s="719"/>
    </row>
    <row r="177" spans="1:17" s="720" customFormat="1" ht="24">
      <c r="A177" s="839">
        <f>+A176+1</f>
        <v>66</v>
      </c>
      <c r="B177" s="478" t="s">
        <v>934</v>
      </c>
      <c r="C177" s="812" t="s">
        <v>933</v>
      </c>
      <c r="D177" s="723" t="s">
        <v>923</v>
      </c>
      <c r="E177" s="722" t="s">
        <v>1073</v>
      </c>
      <c r="F177" s="710">
        <f>+G177+M177</f>
        <v>0</v>
      </c>
      <c r="G177" s="711">
        <f>+H177+I177+J177+K177+L177</f>
        <v>0</v>
      </c>
      <c r="H177" s="726">
        <v>0</v>
      </c>
      <c r="I177" s="724">
        <v>0</v>
      </c>
      <c r="J177" s="724">
        <v>0</v>
      </c>
      <c r="K177" s="724">
        <v>0</v>
      </c>
      <c r="L177" s="725">
        <v>0</v>
      </c>
      <c r="M177" s="711">
        <f>+N177+O177+P177</f>
        <v>0</v>
      </c>
      <c r="N177" s="726">
        <v>0</v>
      </c>
      <c r="O177" s="724">
        <v>0</v>
      </c>
      <c r="P177" s="725">
        <v>0</v>
      </c>
      <c r="Q177" s="719"/>
    </row>
    <row r="178" spans="1:17" s="720" customFormat="1" ht="12.75" thickBot="1">
      <c r="A178" s="839">
        <f>+A177+1</f>
        <v>67</v>
      </c>
      <c r="B178" s="478" t="s">
        <v>980</v>
      </c>
      <c r="C178" s="812" t="s">
        <v>979</v>
      </c>
      <c r="D178" s="735" t="s">
        <v>1034</v>
      </c>
      <c r="E178" s="741" t="s">
        <v>487</v>
      </c>
      <c r="F178" s="710">
        <f>+G178+M178</f>
        <v>60088</v>
      </c>
      <c r="G178" s="711">
        <f>+H178+I178+J178+K178+L178</f>
        <v>25088</v>
      </c>
      <c r="H178" s="726">
        <v>0</v>
      </c>
      <c r="I178" s="724">
        <v>0</v>
      </c>
      <c r="J178" s="724">
        <v>25088</v>
      </c>
      <c r="K178" s="724">
        <v>0</v>
      </c>
      <c r="L178" s="725">
        <v>0</v>
      </c>
      <c r="M178" s="711">
        <f>+N178+O178+P178</f>
        <v>35000</v>
      </c>
      <c r="N178" s="726">
        <v>20000</v>
      </c>
      <c r="O178" s="724">
        <v>15000</v>
      </c>
      <c r="P178" s="725">
        <v>0</v>
      </c>
      <c r="Q178" s="719"/>
    </row>
    <row r="179" spans="1:17" s="720" customFormat="1" ht="12.75" thickBot="1">
      <c r="A179" s="829" t="s">
        <v>775</v>
      </c>
      <c r="B179" s="1266" t="s">
        <v>502</v>
      </c>
      <c r="C179" s="1267"/>
      <c r="D179" s="1267"/>
      <c r="E179" s="1268"/>
      <c r="F179" s="753">
        <f>SUM(F175:F178)</f>
        <v>312113</v>
      </c>
      <c r="G179" s="795">
        <f aca="true" t="shared" si="31" ref="G179:P179">SUM(G175:G178)</f>
        <v>273113</v>
      </c>
      <c r="H179" s="796">
        <f t="shared" si="31"/>
        <v>140480</v>
      </c>
      <c r="I179" s="797">
        <f t="shared" si="31"/>
        <v>33476</v>
      </c>
      <c r="J179" s="797">
        <f t="shared" si="31"/>
        <v>99157</v>
      </c>
      <c r="K179" s="797">
        <f t="shared" si="31"/>
        <v>0</v>
      </c>
      <c r="L179" s="570">
        <f t="shared" si="31"/>
        <v>0</v>
      </c>
      <c r="M179" s="798">
        <f t="shared" si="31"/>
        <v>39000</v>
      </c>
      <c r="N179" s="796">
        <f t="shared" si="31"/>
        <v>24000</v>
      </c>
      <c r="O179" s="797">
        <f t="shared" si="31"/>
        <v>15000</v>
      </c>
      <c r="P179" s="570">
        <f t="shared" si="31"/>
        <v>0</v>
      </c>
      <c r="Q179" s="719"/>
    </row>
    <row r="180" spans="1:25" s="720" customFormat="1" ht="12">
      <c r="A180" s="839">
        <f>+A178+1</f>
        <v>68</v>
      </c>
      <c r="B180" s="478" t="s">
        <v>1026</v>
      </c>
      <c r="C180" s="812" t="s">
        <v>1027</v>
      </c>
      <c r="D180" s="735" t="s">
        <v>924</v>
      </c>
      <c r="E180" s="741" t="s">
        <v>876</v>
      </c>
      <c r="F180" s="736">
        <f>+G180+M180</f>
        <v>0</v>
      </c>
      <c r="G180" s="737">
        <f>+H180+I180+J180+L180</f>
        <v>0</v>
      </c>
      <c r="H180" s="705">
        <v>0</v>
      </c>
      <c r="I180" s="706">
        <v>0</v>
      </c>
      <c r="J180" s="706">
        <v>0</v>
      </c>
      <c r="K180" s="706">
        <v>0</v>
      </c>
      <c r="L180" s="707">
        <v>0</v>
      </c>
      <c r="M180" s="737">
        <f>+N180+O180+P180</f>
        <v>0</v>
      </c>
      <c r="N180" s="705">
        <v>0</v>
      </c>
      <c r="O180" s="706">
        <v>0</v>
      </c>
      <c r="P180" s="707">
        <v>0</v>
      </c>
      <c r="Q180" s="719"/>
      <c r="R180" s="716"/>
      <c r="S180" s="716"/>
      <c r="T180" s="716"/>
      <c r="U180" s="716"/>
      <c r="V180" s="716"/>
      <c r="W180" s="716"/>
      <c r="X180" s="716"/>
      <c r="Y180" s="716"/>
    </row>
    <row r="181" spans="1:25" s="720" customFormat="1" ht="12.75" thickBot="1">
      <c r="A181" s="839">
        <f>+A180+1</f>
        <v>69</v>
      </c>
      <c r="B181" s="478" t="s">
        <v>38</v>
      </c>
      <c r="C181" s="812" t="s">
        <v>1035</v>
      </c>
      <c r="D181" s="735" t="s">
        <v>1036</v>
      </c>
      <c r="E181" s="741" t="s">
        <v>488</v>
      </c>
      <c r="F181" s="736">
        <f>+G181+M181</f>
        <v>24254</v>
      </c>
      <c r="G181" s="737">
        <f>+H181+I181+J181+L181</f>
        <v>24254</v>
      </c>
      <c r="H181" s="726">
        <v>0</v>
      </c>
      <c r="I181" s="724">
        <v>0</v>
      </c>
      <c r="J181" s="724">
        <v>24254</v>
      </c>
      <c r="K181" s="724">
        <v>0</v>
      </c>
      <c r="L181" s="725">
        <v>0</v>
      </c>
      <c r="M181" s="737">
        <f>+N181+O181+P181</f>
        <v>0</v>
      </c>
      <c r="N181" s="726">
        <v>0</v>
      </c>
      <c r="O181" s="724">
        <v>0</v>
      </c>
      <c r="P181" s="725">
        <v>0</v>
      </c>
      <c r="Q181" s="719"/>
      <c r="R181" s="393"/>
      <c r="S181" s="393"/>
      <c r="T181" s="393"/>
      <c r="U181" s="393"/>
      <c r="V181" s="393"/>
      <c r="W181" s="393"/>
      <c r="X181" s="393"/>
      <c r="Y181" s="393"/>
    </row>
    <row r="182" spans="1:25" s="748" customFormat="1" ht="12.75" thickBot="1">
      <c r="A182" s="829" t="s">
        <v>837</v>
      </c>
      <c r="B182" s="1266" t="s">
        <v>503</v>
      </c>
      <c r="C182" s="1267"/>
      <c r="D182" s="1267"/>
      <c r="E182" s="1268"/>
      <c r="F182" s="753">
        <f>SUM(F180:F181)</f>
        <v>24254</v>
      </c>
      <c r="G182" s="795">
        <f aca="true" t="shared" si="32" ref="G182:P182">SUM(G180:G181)</f>
        <v>24254</v>
      </c>
      <c r="H182" s="796">
        <f t="shared" si="32"/>
        <v>0</v>
      </c>
      <c r="I182" s="797">
        <f t="shared" si="32"/>
        <v>0</v>
      </c>
      <c r="J182" s="797">
        <f t="shared" si="32"/>
        <v>24254</v>
      </c>
      <c r="K182" s="797">
        <f t="shared" si="32"/>
        <v>0</v>
      </c>
      <c r="L182" s="570">
        <f t="shared" si="32"/>
        <v>0</v>
      </c>
      <c r="M182" s="798">
        <f t="shared" si="32"/>
        <v>0</v>
      </c>
      <c r="N182" s="796">
        <f t="shared" si="32"/>
        <v>0</v>
      </c>
      <c r="O182" s="797">
        <f t="shared" si="32"/>
        <v>0</v>
      </c>
      <c r="P182" s="570">
        <f t="shared" si="32"/>
        <v>0</v>
      </c>
      <c r="Q182" s="719"/>
      <c r="R182" s="716"/>
      <c r="S182" s="716"/>
      <c r="T182" s="716"/>
      <c r="U182" s="716"/>
      <c r="V182" s="716"/>
      <c r="W182" s="716"/>
      <c r="X182" s="716"/>
      <c r="Y182" s="716"/>
    </row>
    <row r="183" spans="1:25" s="748" customFormat="1" ht="12.75" thickBot="1">
      <c r="A183" s="840">
        <f>+A181+1</f>
        <v>70</v>
      </c>
      <c r="B183" s="585" t="s">
        <v>38</v>
      </c>
      <c r="C183" s="811" t="s">
        <v>38</v>
      </c>
      <c r="D183" s="723" t="s">
        <v>38</v>
      </c>
      <c r="E183" s="755" t="s">
        <v>1074</v>
      </c>
      <c r="F183" s="744">
        <f>+G183+M183</f>
        <v>0</v>
      </c>
      <c r="G183" s="745">
        <f>+H183+I183+J183+K183+L183</f>
        <v>0</v>
      </c>
      <c r="H183" s="739">
        <v>0</v>
      </c>
      <c r="I183" s="738">
        <v>0</v>
      </c>
      <c r="J183" s="738">
        <v>0</v>
      </c>
      <c r="K183" s="738">
        <v>0</v>
      </c>
      <c r="L183" s="602">
        <v>0</v>
      </c>
      <c r="M183" s="745">
        <f>+N183+O183+P183</f>
        <v>0</v>
      </c>
      <c r="N183" s="739">
        <v>0</v>
      </c>
      <c r="O183" s="738">
        <v>0</v>
      </c>
      <c r="P183" s="602">
        <v>0</v>
      </c>
      <c r="Q183" s="718"/>
      <c r="R183" s="393"/>
      <c r="S183" s="393"/>
      <c r="T183" s="393"/>
      <c r="U183" s="393"/>
      <c r="V183" s="393"/>
      <c r="W183" s="393"/>
      <c r="X183" s="393"/>
      <c r="Y183" s="393"/>
    </row>
    <row r="184" spans="1:17" s="748" customFormat="1" ht="12.75" thickBot="1">
      <c r="A184" s="829" t="s">
        <v>1043</v>
      </c>
      <c r="B184" s="1266" t="s">
        <v>504</v>
      </c>
      <c r="C184" s="1267"/>
      <c r="D184" s="1267"/>
      <c r="E184" s="1268"/>
      <c r="F184" s="753">
        <f>SUM(F183)</f>
        <v>0</v>
      </c>
      <c r="G184" s="795">
        <f aca="true" t="shared" si="33" ref="G184:P184">SUM(G183)</f>
        <v>0</v>
      </c>
      <c r="H184" s="796">
        <f t="shared" si="33"/>
        <v>0</v>
      </c>
      <c r="I184" s="797">
        <f t="shared" si="33"/>
        <v>0</v>
      </c>
      <c r="J184" s="797">
        <f t="shared" si="33"/>
        <v>0</v>
      </c>
      <c r="K184" s="797">
        <f>SUM(K183)</f>
        <v>0</v>
      </c>
      <c r="L184" s="570">
        <f t="shared" si="33"/>
        <v>0</v>
      </c>
      <c r="M184" s="798">
        <f t="shared" si="33"/>
        <v>0</v>
      </c>
      <c r="N184" s="797">
        <f t="shared" si="33"/>
        <v>0</v>
      </c>
      <c r="O184" s="797">
        <f t="shared" si="33"/>
        <v>0</v>
      </c>
      <c r="P184" s="570">
        <f t="shared" si="33"/>
        <v>0</v>
      </c>
      <c r="Q184" s="719"/>
    </row>
    <row r="185" spans="1:25" s="748" customFormat="1" ht="12.75" thickBot="1">
      <c r="A185" s="830" t="s">
        <v>41</v>
      </c>
      <c r="B185" s="1269" t="s">
        <v>505</v>
      </c>
      <c r="C185" s="1270"/>
      <c r="D185" s="1270"/>
      <c r="E185" s="1271"/>
      <c r="F185" s="803">
        <f aca="true" t="shared" si="34" ref="F185:P185">+F179+F182+F184</f>
        <v>336367</v>
      </c>
      <c r="G185" s="804">
        <f t="shared" si="34"/>
        <v>297367</v>
      </c>
      <c r="H185" s="800">
        <f t="shared" si="34"/>
        <v>140480</v>
      </c>
      <c r="I185" s="801">
        <f t="shared" si="34"/>
        <v>33476</v>
      </c>
      <c r="J185" s="801">
        <f t="shared" si="34"/>
        <v>123411</v>
      </c>
      <c r="K185" s="801">
        <f t="shared" si="34"/>
        <v>0</v>
      </c>
      <c r="L185" s="802">
        <f t="shared" si="34"/>
        <v>0</v>
      </c>
      <c r="M185" s="804">
        <f t="shared" si="34"/>
        <v>39000</v>
      </c>
      <c r="N185" s="800">
        <f t="shared" si="34"/>
        <v>24000</v>
      </c>
      <c r="O185" s="801">
        <f t="shared" si="34"/>
        <v>15000</v>
      </c>
      <c r="P185" s="802">
        <f t="shared" si="34"/>
        <v>0</v>
      </c>
      <c r="Q185" s="719"/>
      <c r="R185" s="720"/>
      <c r="S185" s="720"/>
      <c r="T185" s="720"/>
      <c r="U185" s="720"/>
      <c r="V185" s="720"/>
      <c r="W185" s="720"/>
      <c r="X185" s="720"/>
      <c r="Y185" s="720"/>
    </row>
    <row r="186" spans="1:25" s="748" customFormat="1" ht="12.75" thickBot="1">
      <c r="A186" s="829"/>
      <c r="B186" s="473"/>
      <c r="C186" s="817"/>
      <c r="D186" s="752"/>
      <c r="E186" s="751"/>
      <c r="F186" s="753"/>
      <c r="G186" s="570"/>
      <c r="H186" s="754"/>
      <c r="I186" s="486"/>
      <c r="J186" s="486"/>
      <c r="K186" s="486"/>
      <c r="L186" s="472"/>
      <c r="M186" s="570"/>
      <c r="N186" s="754"/>
      <c r="O186" s="486"/>
      <c r="P186" s="472"/>
      <c r="Q186" s="719"/>
      <c r="R186" s="720"/>
      <c r="S186" s="720"/>
      <c r="T186" s="720"/>
      <c r="U186" s="720"/>
      <c r="V186" s="720"/>
      <c r="W186" s="720"/>
      <c r="X186" s="720"/>
      <c r="Y186" s="720"/>
    </row>
    <row r="187" spans="1:25" ht="12">
      <c r="A187" s="831" t="s">
        <v>1044</v>
      </c>
      <c r="B187" s="1263" t="s">
        <v>489</v>
      </c>
      <c r="C187" s="1264"/>
      <c r="D187" s="1264"/>
      <c r="E187" s="1265"/>
      <c r="F187" s="708">
        <f>+G187+M187</f>
        <v>366428</v>
      </c>
      <c r="G187" s="709">
        <f>+H187+I187+J187+K187+L187</f>
        <v>366428</v>
      </c>
      <c r="H187" s="772">
        <v>170347</v>
      </c>
      <c r="I187" s="773">
        <v>44819</v>
      </c>
      <c r="J187" s="773">
        <v>151262</v>
      </c>
      <c r="K187" s="773">
        <v>0</v>
      </c>
      <c r="L187" s="774">
        <v>0</v>
      </c>
      <c r="M187" s="709">
        <f>+N187+O187+P187</f>
        <v>0</v>
      </c>
      <c r="N187" s="772">
        <v>0</v>
      </c>
      <c r="O187" s="773">
        <v>0</v>
      </c>
      <c r="P187" s="774">
        <v>0</v>
      </c>
      <c r="Q187" s="719"/>
      <c r="R187" s="748"/>
      <c r="S187" s="748"/>
      <c r="T187" s="748"/>
      <c r="U187" s="748"/>
      <c r="V187" s="748"/>
      <c r="W187" s="748"/>
      <c r="X187" s="748"/>
      <c r="Y187" s="748"/>
    </row>
    <row r="188" spans="1:25" s="716" customFormat="1" ht="12">
      <c r="A188" s="833" t="s">
        <v>1045</v>
      </c>
      <c r="B188" s="1254" t="s">
        <v>490</v>
      </c>
      <c r="C188" s="1255"/>
      <c r="D188" s="1255"/>
      <c r="E188" s="1256"/>
      <c r="F188" s="710">
        <f>+G188+M188</f>
        <v>0</v>
      </c>
      <c r="G188" s="710">
        <f>+H188+I188+J188+K188+L188</f>
        <v>0</v>
      </c>
      <c r="H188" s="834">
        <v>0</v>
      </c>
      <c r="I188" s="835">
        <v>0</v>
      </c>
      <c r="J188" s="835">
        <v>0</v>
      </c>
      <c r="K188" s="835">
        <v>0</v>
      </c>
      <c r="L188" s="836">
        <v>0</v>
      </c>
      <c r="M188" s="737">
        <f>+N188+O188+P188</f>
        <v>0</v>
      </c>
      <c r="N188" s="834">
        <v>0</v>
      </c>
      <c r="O188" s="835">
        <v>0</v>
      </c>
      <c r="P188" s="836">
        <v>0</v>
      </c>
      <c r="Q188" s="719"/>
      <c r="R188" s="748"/>
      <c r="S188" s="748"/>
      <c r="T188" s="748"/>
      <c r="U188" s="748"/>
      <c r="V188" s="748"/>
      <c r="W188" s="748"/>
      <c r="X188" s="748"/>
      <c r="Y188" s="748"/>
    </row>
    <row r="189" spans="1:25" s="716" customFormat="1" ht="12.75" thickBot="1">
      <c r="A189" s="832" t="s">
        <v>1046</v>
      </c>
      <c r="B189" s="1257" t="s">
        <v>1071</v>
      </c>
      <c r="C189" s="1258"/>
      <c r="D189" s="1258"/>
      <c r="E189" s="1259"/>
      <c r="F189" s="777">
        <f>+G189+M189</f>
        <v>0</v>
      </c>
      <c r="G189" s="778">
        <f>+H189+I189+J189+K189+L189</f>
        <v>0</v>
      </c>
      <c r="H189" s="851">
        <v>0</v>
      </c>
      <c r="I189" s="805">
        <v>0</v>
      </c>
      <c r="J189" s="805">
        <v>0</v>
      </c>
      <c r="K189" s="805">
        <v>0</v>
      </c>
      <c r="L189" s="849">
        <v>0</v>
      </c>
      <c r="M189" s="711">
        <f>+N189+O189+P189</f>
        <v>0</v>
      </c>
      <c r="N189" s="851">
        <v>0</v>
      </c>
      <c r="O189" s="805">
        <v>0</v>
      </c>
      <c r="P189" s="849">
        <v>0</v>
      </c>
      <c r="Q189" s="719"/>
      <c r="R189" s="748"/>
      <c r="S189" s="748"/>
      <c r="T189" s="748"/>
      <c r="U189" s="748"/>
      <c r="V189" s="748"/>
      <c r="W189" s="748"/>
      <c r="X189" s="748"/>
      <c r="Y189" s="748"/>
    </row>
    <row r="190" spans="1:25" s="716" customFormat="1" ht="12.75" thickBot="1">
      <c r="A190" s="830" t="s">
        <v>40</v>
      </c>
      <c r="B190" s="1260" t="s">
        <v>1048</v>
      </c>
      <c r="C190" s="1261"/>
      <c r="D190" s="1261"/>
      <c r="E190" s="1262"/>
      <c r="F190" s="757">
        <f>SUM(F187:F189)</f>
        <v>366428</v>
      </c>
      <c r="G190" s="807">
        <f aca="true" t="shared" si="35" ref="G190:P190">SUM(G187:G189)</f>
        <v>366428</v>
      </c>
      <c r="H190" s="758">
        <f t="shared" si="35"/>
        <v>170347</v>
      </c>
      <c r="I190" s="759">
        <f t="shared" si="35"/>
        <v>44819</v>
      </c>
      <c r="J190" s="759">
        <f t="shared" si="35"/>
        <v>151262</v>
      </c>
      <c r="K190" s="759">
        <f t="shared" si="35"/>
        <v>0</v>
      </c>
      <c r="L190" s="760">
        <f t="shared" si="35"/>
        <v>0</v>
      </c>
      <c r="M190" s="808">
        <f t="shared" si="35"/>
        <v>0</v>
      </c>
      <c r="N190" s="758">
        <f t="shared" si="35"/>
        <v>0</v>
      </c>
      <c r="O190" s="759">
        <f t="shared" si="35"/>
        <v>0</v>
      </c>
      <c r="P190" s="760">
        <f t="shared" si="35"/>
        <v>0</v>
      </c>
      <c r="Q190" s="719"/>
      <c r="R190" s="748"/>
      <c r="S190" s="748"/>
      <c r="T190" s="748"/>
      <c r="U190" s="748"/>
      <c r="V190" s="748"/>
      <c r="W190" s="748"/>
      <c r="X190" s="748"/>
      <c r="Y190" s="748"/>
    </row>
    <row r="191" spans="1:25" s="716" customFormat="1" ht="12.75" thickBot="1">
      <c r="A191" s="829"/>
      <c r="B191" s="473"/>
      <c r="C191" s="817"/>
      <c r="D191" s="752"/>
      <c r="E191" s="751"/>
      <c r="F191" s="753"/>
      <c r="G191" s="570"/>
      <c r="H191" s="779"/>
      <c r="I191" s="780"/>
      <c r="J191" s="780"/>
      <c r="K191" s="780"/>
      <c r="L191" s="781"/>
      <c r="M191" s="570"/>
      <c r="N191" s="779"/>
      <c r="O191" s="780"/>
      <c r="P191" s="781"/>
      <c r="Q191" s="719"/>
      <c r="R191" s="748"/>
      <c r="S191" s="748"/>
      <c r="T191" s="748"/>
      <c r="U191" s="393"/>
      <c r="V191" s="393"/>
      <c r="W191" s="393"/>
      <c r="X191" s="393"/>
      <c r="Y191" s="393"/>
    </row>
    <row r="192" spans="1:25" s="716" customFormat="1" ht="12">
      <c r="A192" s="831" t="s">
        <v>1047</v>
      </c>
      <c r="B192" s="1263" t="s">
        <v>492</v>
      </c>
      <c r="C192" s="1264"/>
      <c r="D192" s="1264"/>
      <c r="E192" s="1265"/>
      <c r="F192" s="708">
        <f>+G192+M192</f>
        <v>63742</v>
      </c>
      <c r="G192" s="708">
        <f>+H192+I192+J192+K192+L192</f>
        <v>63742</v>
      </c>
      <c r="H192" s="772">
        <v>21989</v>
      </c>
      <c r="I192" s="773">
        <v>5823</v>
      </c>
      <c r="J192" s="773">
        <v>35930</v>
      </c>
      <c r="K192" s="773">
        <v>0</v>
      </c>
      <c r="L192" s="774">
        <v>0</v>
      </c>
      <c r="M192" s="709">
        <f>+N192+O192+P192</f>
        <v>0</v>
      </c>
      <c r="N192" s="772">
        <v>0</v>
      </c>
      <c r="O192" s="773">
        <v>0</v>
      </c>
      <c r="P192" s="774">
        <v>0</v>
      </c>
      <c r="Q192" s="719"/>
      <c r="R192" s="748"/>
      <c r="S192" s="748"/>
      <c r="T192" s="748"/>
      <c r="U192" s="393"/>
      <c r="V192" s="393"/>
      <c r="W192" s="393"/>
      <c r="X192" s="393"/>
      <c r="Y192" s="393"/>
    </row>
    <row r="193" spans="1:20" s="716" customFormat="1" ht="12">
      <c r="A193" s="833" t="s">
        <v>838</v>
      </c>
      <c r="B193" s="1254" t="s">
        <v>1050</v>
      </c>
      <c r="C193" s="1255"/>
      <c r="D193" s="1255"/>
      <c r="E193" s="1256"/>
      <c r="F193" s="736">
        <f>+G193+M193</f>
        <v>0</v>
      </c>
      <c r="G193" s="736">
        <f>+H193+I193+J193+K193+L193</f>
        <v>0</v>
      </c>
      <c r="H193" s="834">
        <v>0</v>
      </c>
      <c r="I193" s="835">
        <v>0</v>
      </c>
      <c r="J193" s="835">
        <v>0</v>
      </c>
      <c r="K193" s="835">
        <v>0</v>
      </c>
      <c r="L193" s="836">
        <v>0</v>
      </c>
      <c r="M193" s="737">
        <f>+N193+O193+P193</f>
        <v>0</v>
      </c>
      <c r="N193" s="834">
        <v>0</v>
      </c>
      <c r="O193" s="835">
        <v>0</v>
      </c>
      <c r="P193" s="836">
        <v>0</v>
      </c>
      <c r="Q193" s="719"/>
      <c r="R193" s="748"/>
      <c r="S193" s="748"/>
      <c r="T193" s="748"/>
    </row>
    <row r="194" spans="1:20" s="716" customFormat="1" ht="12.75" thickBot="1">
      <c r="A194" s="832" t="s">
        <v>1049</v>
      </c>
      <c r="B194" s="1257" t="s">
        <v>1072</v>
      </c>
      <c r="C194" s="1258"/>
      <c r="D194" s="1258"/>
      <c r="E194" s="1259"/>
      <c r="F194" s="710">
        <f>+G194+M194</f>
        <v>0</v>
      </c>
      <c r="G194" s="710">
        <f>+H194+I194+J194+K194+L194</f>
        <v>0</v>
      </c>
      <c r="H194" s="851">
        <v>0</v>
      </c>
      <c r="I194" s="805">
        <v>0</v>
      </c>
      <c r="J194" s="805">
        <v>0</v>
      </c>
      <c r="K194" s="805">
        <v>0</v>
      </c>
      <c r="L194" s="849">
        <v>0</v>
      </c>
      <c r="M194" s="711">
        <f>+N194+O194+P194</f>
        <v>0</v>
      </c>
      <c r="N194" s="851">
        <v>0</v>
      </c>
      <c r="O194" s="805">
        <v>0</v>
      </c>
      <c r="P194" s="849">
        <v>0</v>
      </c>
      <c r="Q194" s="719"/>
      <c r="R194" s="393"/>
      <c r="S194" s="393"/>
      <c r="T194" s="393"/>
    </row>
    <row r="195" spans="1:25" s="748" customFormat="1" ht="12.75" thickBot="1">
      <c r="A195" s="830" t="s">
        <v>39</v>
      </c>
      <c r="B195" s="1260" t="s">
        <v>1051</v>
      </c>
      <c r="C195" s="1261"/>
      <c r="D195" s="1261"/>
      <c r="E195" s="1262"/>
      <c r="F195" s="757">
        <f>SUM(F192:F194)</f>
        <v>63742</v>
      </c>
      <c r="G195" s="807">
        <f aca="true" t="shared" si="36" ref="G195:P195">SUM(G192:G194)</f>
        <v>63742</v>
      </c>
      <c r="H195" s="758">
        <f t="shared" si="36"/>
        <v>21989</v>
      </c>
      <c r="I195" s="759">
        <f t="shared" si="36"/>
        <v>5823</v>
      </c>
      <c r="J195" s="759">
        <f t="shared" si="36"/>
        <v>35930</v>
      </c>
      <c r="K195" s="759">
        <f t="shared" si="36"/>
        <v>0</v>
      </c>
      <c r="L195" s="760">
        <f t="shared" si="36"/>
        <v>0</v>
      </c>
      <c r="M195" s="808">
        <f t="shared" si="36"/>
        <v>0</v>
      </c>
      <c r="N195" s="758">
        <f t="shared" si="36"/>
        <v>0</v>
      </c>
      <c r="O195" s="759">
        <f t="shared" si="36"/>
        <v>0</v>
      </c>
      <c r="P195" s="760">
        <f t="shared" si="36"/>
        <v>0</v>
      </c>
      <c r="Q195" s="719"/>
      <c r="R195" s="393"/>
      <c r="S195" s="393"/>
      <c r="T195" s="393"/>
      <c r="U195" s="716"/>
      <c r="V195" s="716"/>
      <c r="W195" s="716"/>
      <c r="X195" s="716"/>
      <c r="Y195" s="716"/>
    </row>
    <row r="196" spans="1:25" ht="12.75" thickBot="1">
      <c r="A196" s="843"/>
      <c r="B196" s="600"/>
      <c r="C196" s="813"/>
      <c r="D196" s="787"/>
      <c r="E196" s="786"/>
      <c r="F196" s="788"/>
      <c r="G196" s="578"/>
      <c r="H196" s="739"/>
      <c r="I196" s="738"/>
      <c r="J196" s="738"/>
      <c r="K196" s="738"/>
      <c r="L196" s="602"/>
      <c r="M196" s="578"/>
      <c r="N196" s="739"/>
      <c r="O196" s="738"/>
      <c r="P196" s="602"/>
      <c r="Q196" s="719"/>
      <c r="R196" s="716"/>
      <c r="S196" s="716"/>
      <c r="T196" s="716"/>
      <c r="U196" s="716"/>
      <c r="V196" s="716"/>
      <c r="W196" s="716"/>
      <c r="X196" s="716"/>
      <c r="Y196" s="716"/>
    </row>
    <row r="197" spans="1:17" s="716" customFormat="1" ht="12.75" thickBot="1">
      <c r="A197" s="830" t="s">
        <v>693</v>
      </c>
      <c r="B197" s="1260" t="s">
        <v>1052</v>
      </c>
      <c r="C197" s="1261"/>
      <c r="D197" s="1261"/>
      <c r="E197" s="1262"/>
      <c r="F197" s="789">
        <f>+F173+F185+F190+F195</f>
        <v>1686903</v>
      </c>
      <c r="G197" s="790">
        <f aca="true" t="shared" si="37" ref="G197:P197">+G173+G185+G190+G195</f>
        <v>1575124</v>
      </c>
      <c r="H197" s="791">
        <f t="shared" si="37"/>
        <v>523384</v>
      </c>
      <c r="I197" s="792">
        <f t="shared" si="37"/>
        <v>110637</v>
      </c>
      <c r="J197" s="792">
        <f t="shared" si="37"/>
        <v>581830</v>
      </c>
      <c r="K197" s="792">
        <f t="shared" si="37"/>
        <v>266825</v>
      </c>
      <c r="L197" s="790">
        <f t="shared" si="37"/>
        <v>92448</v>
      </c>
      <c r="M197" s="790">
        <f t="shared" si="37"/>
        <v>111779</v>
      </c>
      <c r="N197" s="791">
        <f t="shared" si="37"/>
        <v>96779</v>
      </c>
      <c r="O197" s="792">
        <f t="shared" si="37"/>
        <v>15000</v>
      </c>
      <c r="P197" s="790">
        <f t="shared" si="37"/>
        <v>0</v>
      </c>
      <c r="Q197" s="719"/>
    </row>
    <row r="198" ht="12">
      <c r="T198" s="482"/>
    </row>
    <row r="199" spans="8:19" ht="12" hidden="1">
      <c r="H199" s="393">
        <f>+'1.mell._Össz_Mérleg2014'!C11</f>
        <v>1126437</v>
      </c>
      <c r="I199" s="393">
        <f>+'1.mell._Össz_Mérleg2014'!C25</f>
        <v>295460</v>
      </c>
      <c r="J199" s="393">
        <f>+'1.mell._Össz_Mérleg2014'!C32</f>
        <v>94452</v>
      </c>
      <c r="K199" s="393">
        <f>+'1.mell._Össz_Mérleg2014'!C43</f>
        <v>54162</v>
      </c>
      <c r="M199" s="393">
        <f>+'1.mell._Össz_Mérleg2014'!C48</f>
        <v>23356</v>
      </c>
      <c r="N199" s="393">
        <f>+'1.mell._Össz_Mérleg2014'!C55</f>
        <v>300</v>
      </c>
      <c r="O199" s="393">
        <f>+'1.mell._Össz_Mérleg2014'!C61</f>
        <v>2700</v>
      </c>
      <c r="R199" s="482"/>
      <c r="S199" s="482"/>
    </row>
    <row r="200" spans="8:19" ht="12" hidden="1">
      <c r="H200" s="393">
        <f>+H97-H199</f>
        <v>0</v>
      </c>
      <c r="I200" s="393">
        <f aca="true" t="shared" si="38" ref="I200:O200">+I97-I199</f>
        <v>0</v>
      </c>
      <c r="J200" s="393">
        <f t="shared" si="38"/>
        <v>0</v>
      </c>
      <c r="K200" s="393">
        <f t="shared" si="38"/>
        <v>0</v>
      </c>
      <c r="L200" s="393"/>
      <c r="M200" s="393">
        <f t="shared" si="38"/>
        <v>0</v>
      </c>
      <c r="N200" s="393">
        <f t="shared" si="38"/>
        <v>0</v>
      </c>
      <c r="O200" s="393">
        <f t="shared" si="38"/>
        <v>0</v>
      </c>
      <c r="Q200" s="482"/>
      <c r="R200" s="482"/>
      <c r="S200" s="482"/>
    </row>
    <row r="201" ht="12" hidden="1">
      <c r="Q201" s="482"/>
    </row>
    <row r="202" spans="8:16" ht="12" hidden="1">
      <c r="H202" s="393">
        <f>+'1.mell._Össz_Mérleg2014'!C101</f>
        <v>523384</v>
      </c>
      <c r="I202" s="393">
        <f>+'1.mell._Össz_Mérleg2014'!C105</f>
        <v>110637</v>
      </c>
      <c r="J202" s="393">
        <f>+'1.mell._Össz_Mérleg2014'!C107</f>
        <v>581830</v>
      </c>
      <c r="K202" s="393">
        <f>+'1.mell._Össz_Mérleg2014'!C114</f>
        <v>266825</v>
      </c>
      <c r="L202" s="393">
        <f>+'1.mell._Össz_Mérleg2014'!C123</f>
        <v>92448</v>
      </c>
      <c r="N202" s="393">
        <f>+'1.mell._Össz_Mérleg2014'!C140</f>
        <v>96779</v>
      </c>
      <c r="O202" s="393">
        <f>+'1.mell._Össz_Mérleg2014'!C149</f>
        <v>15000</v>
      </c>
      <c r="P202" s="393">
        <f>+'1.mell._Össz_Mérleg2014'!C155</f>
        <v>0</v>
      </c>
    </row>
    <row r="203" spans="8:16" ht="12" hidden="1">
      <c r="H203" s="393">
        <f>+H197-H202</f>
        <v>0</v>
      </c>
      <c r="I203" s="393">
        <f>+I197-I202</f>
        <v>0</v>
      </c>
      <c r="J203" s="393">
        <f>+J197-J202</f>
        <v>0</v>
      </c>
      <c r="K203" s="393">
        <f>+K197-K202</f>
        <v>0</v>
      </c>
      <c r="L203" s="393">
        <f>+L197-L202</f>
        <v>0</v>
      </c>
      <c r="N203" s="393">
        <f>+N197-N202</f>
        <v>0</v>
      </c>
      <c r="O203" s="393">
        <f>+O197-O202</f>
        <v>0</v>
      </c>
      <c r="P203" s="393">
        <f>+P197-P202</f>
        <v>0</v>
      </c>
    </row>
  </sheetData>
  <sheetProtection/>
  <mergeCells count="55">
    <mergeCell ref="B192:E192"/>
    <mergeCell ref="B179:E179"/>
    <mergeCell ref="B193:E193"/>
    <mergeCell ref="B194:E194"/>
    <mergeCell ref="B195:E195"/>
    <mergeCell ref="B197:E197"/>
    <mergeCell ref="B185:E185"/>
    <mergeCell ref="B187:E187"/>
    <mergeCell ref="B188:E188"/>
    <mergeCell ref="B189:E189"/>
    <mergeCell ref="B190:E190"/>
    <mergeCell ref="B182:E182"/>
    <mergeCell ref="B184:E184"/>
    <mergeCell ref="A103:P103"/>
    <mergeCell ref="A105:A106"/>
    <mergeCell ref="E105:E106"/>
    <mergeCell ref="D105:D106"/>
    <mergeCell ref="B153:E153"/>
    <mergeCell ref="B167:E167"/>
    <mergeCell ref="B172:E172"/>
    <mergeCell ref="B173:E173"/>
    <mergeCell ref="B79:E79"/>
    <mergeCell ref="B82:E82"/>
    <mergeCell ref="B84:E84"/>
    <mergeCell ref="B92:E92"/>
    <mergeCell ref="B93:E93"/>
    <mergeCell ref="B94:E94"/>
    <mergeCell ref="A3:P3"/>
    <mergeCell ref="G105:G106"/>
    <mergeCell ref="M105:M106"/>
    <mergeCell ref="B105:B106"/>
    <mergeCell ref="C105:C106"/>
    <mergeCell ref="H105:L105"/>
    <mergeCell ref="B53:E53"/>
    <mergeCell ref="B67:E67"/>
    <mergeCell ref="B72:E72"/>
    <mergeCell ref="B73:E73"/>
    <mergeCell ref="F105:F106"/>
    <mergeCell ref="B85:E85"/>
    <mergeCell ref="B87:E87"/>
    <mergeCell ref="B88:E88"/>
    <mergeCell ref="B89:E89"/>
    <mergeCell ref="B90:E90"/>
    <mergeCell ref="B95:E95"/>
    <mergeCell ref="B97:E97"/>
    <mergeCell ref="A5:A6"/>
    <mergeCell ref="E5:E6"/>
    <mergeCell ref="D5:D6"/>
    <mergeCell ref="F5:F6"/>
    <mergeCell ref="H5:K5"/>
    <mergeCell ref="M5:O5"/>
    <mergeCell ref="B5:B6"/>
    <mergeCell ref="C5:C6"/>
    <mergeCell ref="G5:G6"/>
    <mergeCell ref="L5:L6"/>
  </mergeCells>
  <printOptions horizontalCentered="1"/>
  <pageMargins left="0.2362204724409449" right="0.2362204724409449" top="0.7480314960629921" bottom="0.7480314960629921" header="0.31496062992125984" footer="0.31496062992125984"/>
  <pageSetup fitToHeight="2" horizontalDpi="600" verticalDpi="600" orientation="landscape" paperSize="8" scale="46" r:id="rId1"/>
  <headerFooter alignWithMargins="0">
    <oddHeader>&amp;C&amp;"Times New Roman CE,Félkövér"&amp;14
&amp;R&amp;"Times New Roman CE,Dőlt"&amp;12
</oddHeader>
  </headerFooter>
  <rowBreaks count="1" manualBreakCount="1">
    <brk id="101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V48"/>
  <sheetViews>
    <sheetView zoomScale="80" zoomScaleNormal="80" zoomScalePageLayoutView="0" workbookViewId="0" topLeftCell="A1">
      <pane xSplit="2" ySplit="4" topLeftCell="K5" activePane="bottomRight" state="frozen"/>
      <selection pane="topLeft" activeCell="F158" sqref="F158:F159"/>
      <selection pane="topRight" activeCell="F158" sqref="F158:F159"/>
      <selection pane="bottomLeft" activeCell="F158" sqref="F158:F159"/>
      <selection pane="bottomRight" activeCell="V1" sqref="V1"/>
    </sheetView>
  </sheetViews>
  <sheetFormatPr defaultColWidth="13.00390625" defaultRowHeight="12.75"/>
  <cols>
    <col min="1" max="1" width="5.00390625" style="853" customWidth="1"/>
    <col min="2" max="2" width="65.75390625" style="337" customWidth="1"/>
    <col min="3" max="9" width="11.875" style="337" customWidth="1"/>
    <col min="10" max="10" width="11.875" style="852" customWidth="1"/>
    <col min="11" max="18" width="11.875" style="337" customWidth="1"/>
    <col min="19" max="19" width="11.875" style="852" customWidth="1"/>
    <col min="20" max="21" width="11.875" style="337" customWidth="1"/>
    <col min="22" max="22" width="11.875" style="852" customWidth="1"/>
    <col min="23" max="23" width="6.25390625" style="337" bestFit="1" customWidth="1"/>
    <col min="24" max="25" width="9.25390625" style="337" customWidth="1"/>
    <col min="26" max="26" width="3.375" style="337" customWidth="1"/>
    <col min="27" max="28" width="9.25390625" style="337" customWidth="1"/>
    <col min="29" max="16384" width="13.00390625" style="337" customWidth="1"/>
  </cols>
  <sheetData>
    <row r="1" spans="1:22" s="999" customFormat="1" ht="15.75">
      <c r="A1" s="998"/>
      <c r="J1" s="1000"/>
      <c r="S1" s="1000"/>
      <c r="V1" s="223" t="s">
        <v>1419</v>
      </c>
    </row>
    <row r="2" spans="1:22" s="1000" customFormat="1" ht="15.75">
      <c r="A2" s="1001"/>
      <c r="B2" s="1369" t="s">
        <v>1248</v>
      </c>
      <c r="C2" s="1369"/>
      <c r="D2" s="1369"/>
      <c r="E2" s="1369"/>
      <c r="F2" s="1369"/>
      <c r="G2" s="1369"/>
      <c r="H2" s="1369"/>
      <c r="I2" s="1369"/>
      <c r="J2" s="1369"/>
      <c r="K2" s="1369"/>
      <c r="L2" s="1369"/>
      <c r="M2" s="1369"/>
      <c r="N2" s="1369"/>
      <c r="O2" s="1369"/>
      <c r="P2" s="1369"/>
      <c r="Q2" s="1369"/>
      <c r="R2" s="1369"/>
      <c r="S2" s="1369"/>
      <c r="T2" s="1369"/>
      <c r="U2" s="1369"/>
      <c r="V2" s="1369"/>
    </row>
    <row r="3" ht="12.75" thickBot="1">
      <c r="V3" s="295" t="s">
        <v>543</v>
      </c>
    </row>
    <row r="4" spans="1:22" s="862" customFormat="1" ht="72.75" thickBot="1">
      <c r="A4" s="922"/>
      <c r="B4" s="854" t="s">
        <v>1080</v>
      </c>
      <c r="C4" s="855" t="s">
        <v>1066</v>
      </c>
      <c r="D4" s="856" t="s">
        <v>650</v>
      </c>
      <c r="E4" s="856" t="s">
        <v>1067</v>
      </c>
      <c r="F4" s="856" t="s">
        <v>1068</v>
      </c>
      <c r="G4" s="856" t="s">
        <v>658</v>
      </c>
      <c r="H4" s="856" t="s">
        <v>659</v>
      </c>
      <c r="I4" s="857" t="s">
        <v>660</v>
      </c>
      <c r="J4" s="394" t="s">
        <v>649</v>
      </c>
      <c r="K4" s="855" t="s">
        <v>74</v>
      </c>
      <c r="L4" s="856" t="s">
        <v>532</v>
      </c>
      <c r="M4" s="856" t="s">
        <v>533</v>
      </c>
      <c r="N4" s="856" t="s">
        <v>1069</v>
      </c>
      <c r="O4" s="856" t="s">
        <v>535</v>
      </c>
      <c r="P4" s="856" t="s">
        <v>536</v>
      </c>
      <c r="Q4" s="856" t="s">
        <v>537</v>
      </c>
      <c r="R4" s="858" t="s">
        <v>538</v>
      </c>
      <c r="S4" s="394" t="s">
        <v>652</v>
      </c>
      <c r="T4" s="859" t="s">
        <v>1054</v>
      </c>
      <c r="U4" s="860" t="s">
        <v>1055</v>
      </c>
      <c r="V4" s="861" t="s">
        <v>1056</v>
      </c>
    </row>
    <row r="5" spans="1:22" ht="12">
      <c r="A5" s="923" t="s">
        <v>4</v>
      </c>
      <c r="B5" s="863" t="s">
        <v>861</v>
      </c>
      <c r="C5" s="864">
        <f>+'13.mell_ÖNKfeladatok2014'!H11</f>
        <v>0</v>
      </c>
      <c r="D5" s="864">
        <f>+'13.mell_ÖNKfeladatok2014'!I11</f>
        <v>0</v>
      </c>
      <c r="E5" s="864">
        <f>+'13.mell_ÖNKfeladatok2014'!J11</f>
        <v>127</v>
      </c>
      <c r="F5" s="864">
        <f>+'13.mell_ÖNKfeladatok2014'!K11</f>
        <v>0</v>
      </c>
      <c r="G5" s="864">
        <f>+'13.mell_ÖNKfeladatok2014'!M11</f>
        <v>0</v>
      </c>
      <c r="H5" s="864">
        <f>+'13.mell_ÖNKfeladatok2014'!N11</f>
        <v>0</v>
      </c>
      <c r="I5" s="864">
        <f>+'13.mell_ÖNKfeladatok2014'!O11</f>
        <v>0</v>
      </c>
      <c r="J5" s="916">
        <f>SUM(C5:I5)</f>
        <v>127</v>
      </c>
      <c r="K5" s="864">
        <f>+'13.mell_ÖNKfeladatok2014'!H111</f>
        <v>0</v>
      </c>
      <c r="L5" s="864">
        <f>+'13.mell_ÖNKfeladatok2014'!I111</f>
        <v>0</v>
      </c>
      <c r="M5" s="864">
        <f>+'13.mell_ÖNKfeladatok2014'!J111</f>
        <v>527</v>
      </c>
      <c r="N5" s="864">
        <f>+'13.mell_ÖNKfeladatok2014'!K111</f>
        <v>0</v>
      </c>
      <c r="O5" s="864">
        <f>+'13.mell_ÖNKfeladatok2014'!L111</f>
        <v>0</v>
      </c>
      <c r="P5" s="864">
        <f>+'13.mell_ÖNKfeladatok2014'!N111</f>
        <v>0</v>
      </c>
      <c r="Q5" s="864">
        <f>+'13.mell_ÖNKfeladatok2014'!O111</f>
        <v>0</v>
      </c>
      <c r="R5" s="864">
        <f>+'13.mell_ÖNKfeladatok2014'!P111</f>
        <v>0</v>
      </c>
      <c r="S5" s="916">
        <f aca="true" t="shared" si="0" ref="S5:S11">SUM(K5:R5)</f>
        <v>527</v>
      </c>
      <c r="T5" s="865">
        <f>S5-J5</f>
        <v>400</v>
      </c>
      <c r="U5" s="866">
        <f>+ROUND('10.mell_támogatások2014'!C14/1000,0)</f>
        <v>3460</v>
      </c>
      <c r="V5" s="867">
        <f aca="true" t="shared" si="1" ref="V5:V11">+T5-U5</f>
        <v>-3060</v>
      </c>
    </row>
    <row r="6" spans="1:22" ht="12">
      <c r="A6" s="924" t="s">
        <v>5</v>
      </c>
      <c r="B6" s="868" t="s">
        <v>855</v>
      </c>
      <c r="C6" s="869">
        <f>+'13.mell_ÖNKfeladatok2014'!H31</f>
        <v>0</v>
      </c>
      <c r="D6" s="869">
        <f>+'13.mell_ÖNKfeladatok2014'!I31</f>
        <v>0</v>
      </c>
      <c r="E6" s="869">
        <f>+'13.mell_ÖNKfeladatok2014'!J31</f>
        <v>0</v>
      </c>
      <c r="F6" s="869">
        <f>+'13.mell_ÖNKfeladatok2014'!K31</f>
        <v>0</v>
      </c>
      <c r="G6" s="869">
        <f>+'13.mell_ÖNKfeladatok2014'!M31</f>
        <v>0</v>
      </c>
      <c r="H6" s="869">
        <f>+'13.mell_ÖNKfeladatok2014'!N31</f>
        <v>0</v>
      </c>
      <c r="I6" s="869">
        <f>+'13.mell_ÖNKfeladatok2014'!O31</f>
        <v>0</v>
      </c>
      <c r="J6" s="917">
        <f aca="true" t="shared" si="2" ref="J6:J17">SUM(C6:I6)</f>
        <v>0</v>
      </c>
      <c r="K6" s="869">
        <f>+'13.mell_ÖNKfeladatok2014'!H131</f>
        <v>0</v>
      </c>
      <c r="L6" s="869">
        <f>+'13.mell_ÖNKfeladatok2014'!I131</f>
        <v>0</v>
      </c>
      <c r="M6" s="869">
        <f>+'13.mell_ÖNKfeladatok2014'!J131</f>
        <v>22500</v>
      </c>
      <c r="N6" s="869">
        <f>+'13.mell_ÖNKfeladatok2014'!K131</f>
        <v>0</v>
      </c>
      <c r="O6" s="869">
        <f>+'13.mell_ÖNKfeladatok2014'!L131</f>
        <v>0</v>
      </c>
      <c r="P6" s="869">
        <f>+'13.mell_ÖNKfeladatok2014'!N131</f>
        <v>0</v>
      </c>
      <c r="Q6" s="869">
        <f>+'13.mell_ÖNKfeladatok2014'!O131</f>
        <v>0</v>
      </c>
      <c r="R6" s="869">
        <f>+'13.mell_ÖNKfeladatok2014'!P131</f>
        <v>0</v>
      </c>
      <c r="S6" s="917">
        <f t="shared" si="0"/>
        <v>22500</v>
      </c>
      <c r="T6" s="870">
        <f aca="true" t="shared" si="3" ref="T6:T17">S6-J6</f>
        <v>22500</v>
      </c>
      <c r="U6" s="866">
        <f>+ROUND('10.mell_támogatások2014'!C13/1000,0)</f>
        <v>24515</v>
      </c>
      <c r="V6" s="872">
        <f t="shared" si="1"/>
        <v>-2015</v>
      </c>
    </row>
    <row r="7" spans="1:22" ht="12">
      <c r="A7" s="924" t="s">
        <v>6</v>
      </c>
      <c r="B7" s="868" t="s">
        <v>858</v>
      </c>
      <c r="C7" s="869">
        <f>+'13.mell_ÖNKfeladatok2014'!H32</f>
        <v>0</v>
      </c>
      <c r="D7" s="869">
        <f>+'13.mell_ÖNKfeladatok2014'!I32</f>
        <v>0</v>
      </c>
      <c r="E7" s="869">
        <f>+'13.mell_ÖNKfeladatok2014'!J32</f>
        <v>0</v>
      </c>
      <c r="F7" s="869">
        <f>+'13.mell_ÖNKfeladatok2014'!K32</f>
        <v>0</v>
      </c>
      <c r="G7" s="869">
        <f>+'13.mell_ÖNKfeladatok2014'!M32</f>
        <v>0</v>
      </c>
      <c r="H7" s="869">
        <f>+'13.mell_ÖNKfeladatok2014'!N32</f>
        <v>0</v>
      </c>
      <c r="I7" s="869">
        <f>+'13.mell_ÖNKfeladatok2014'!O32</f>
        <v>0</v>
      </c>
      <c r="J7" s="917">
        <f t="shared" si="2"/>
        <v>0</v>
      </c>
      <c r="K7" s="869">
        <f>+'13.mell_ÖNKfeladatok2014'!H132</f>
        <v>0</v>
      </c>
      <c r="L7" s="869">
        <f>+'13.mell_ÖNKfeladatok2014'!I132</f>
        <v>0</v>
      </c>
      <c r="M7" s="869">
        <f>+'13.mell_ÖNKfeladatok2014'!J132</f>
        <v>1900</v>
      </c>
      <c r="N7" s="869">
        <f>+'13.mell_ÖNKfeladatok2014'!K132</f>
        <v>0</v>
      </c>
      <c r="O7" s="869">
        <f>+'13.mell_ÖNKfeladatok2014'!L132</f>
        <v>0</v>
      </c>
      <c r="P7" s="869">
        <f>+'13.mell_ÖNKfeladatok2014'!N132</f>
        <v>0</v>
      </c>
      <c r="Q7" s="869">
        <f>+'13.mell_ÖNKfeladatok2014'!O132</f>
        <v>0</v>
      </c>
      <c r="R7" s="869">
        <f>+'13.mell_ÖNKfeladatok2014'!P132</f>
        <v>0</v>
      </c>
      <c r="S7" s="917">
        <f t="shared" si="0"/>
        <v>1900</v>
      </c>
      <c r="T7" s="870">
        <f t="shared" si="3"/>
        <v>1900</v>
      </c>
      <c r="U7" s="866">
        <f>+ROUND('10.mell_támogatások2014'!C12/1000,0)</f>
        <v>13463</v>
      </c>
      <c r="V7" s="872">
        <f t="shared" si="1"/>
        <v>-11563</v>
      </c>
    </row>
    <row r="8" spans="1:22" ht="12">
      <c r="A8" s="924" t="s">
        <v>3</v>
      </c>
      <c r="B8" s="868" t="s">
        <v>1081</v>
      </c>
      <c r="C8" s="869">
        <f>+'13.mell_ÖNKfeladatok2014'!H19+'13.mell_ÖNKfeladatok2014'!H20+'13.mell_ÖNKfeladatok2014'!H21+'13.mell_ÖNKfeladatok2014'!H22+'13.mell_ÖNKfeladatok2014'!H23+'13.mell_ÖNKfeladatok2014'!H38+'13.mell_ÖNKfeladatok2014'!H39+'13.mell_ÖNKfeladatok2014'!H40+'13.mell_ÖNKfeladatok2014'!H41+'13.mell_ÖNKfeladatok2014'!H42+'13.mell_ÖNKfeladatok2014'!H43+'13.mell_ÖNKfeladatok2014'!H44+'13.mell_ÖNKfeladatok2014'!H45+'13.mell_ÖNKfeladatok2014'!H46+'13.mell_ÖNKfeladatok2014'!H47+'13.mell_ÖNKfeladatok2014'!H48+'13.mell_ÖNKfeladatok2014'!H49+'13.mell_ÖNKfeladatok2014'!H50</f>
        <v>434572</v>
      </c>
      <c r="D8" s="869">
        <f>+'13.mell_ÖNKfeladatok2014'!I19+'13.mell_ÖNKfeladatok2014'!I20+'13.mell_ÖNKfeladatok2014'!I21+'13.mell_ÖNKfeladatok2014'!I22+'13.mell_ÖNKfeladatok2014'!I23+'13.mell_ÖNKfeladatok2014'!I38+'13.mell_ÖNKfeladatok2014'!I39+'13.mell_ÖNKfeladatok2014'!I40+'13.mell_ÖNKfeladatok2014'!I41+'13.mell_ÖNKfeladatok2014'!I42+'13.mell_ÖNKfeladatok2014'!I43+'13.mell_ÖNKfeladatok2014'!I44+'13.mell_ÖNKfeladatok2014'!I45+'13.mell_ÖNKfeladatok2014'!I46+'13.mell_ÖNKfeladatok2014'!I47+'13.mell_ÖNKfeladatok2014'!I48+'13.mell_ÖNKfeladatok2014'!I49+'13.mell_ÖNKfeladatok2014'!I50</f>
        <v>0</v>
      </c>
      <c r="E8" s="869">
        <f>+'13.mell_ÖNKfeladatok2014'!J19+'13.mell_ÖNKfeladatok2014'!J20+'13.mell_ÖNKfeladatok2014'!J21+'13.mell_ÖNKfeladatok2014'!J22+'13.mell_ÖNKfeladatok2014'!J23+'13.mell_ÖNKfeladatok2014'!J38+'13.mell_ÖNKfeladatok2014'!J39+'13.mell_ÖNKfeladatok2014'!J40+'13.mell_ÖNKfeladatok2014'!J41+'13.mell_ÖNKfeladatok2014'!J42+'13.mell_ÖNKfeladatok2014'!J43+'13.mell_ÖNKfeladatok2014'!J44+'13.mell_ÖNKfeladatok2014'!J45+'13.mell_ÖNKfeladatok2014'!J46+'13.mell_ÖNKfeladatok2014'!J47+'13.mell_ÖNKfeladatok2014'!J48+'13.mell_ÖNKfeladatok2014'!J49+'13.mell_ÖNKfeladatok2014'!J50</f>
        <v>0</v>
      </c>
      <c r="F8" s="869">
        <f>+'13.mell_ÖNKfeladatok2014'!K19+'13.mell_ÖNKfeladatok2014'!K20+'13.mell_ÖNKfeladatok2014'!K21+'13.mell_ÖNKfeladatok2014'!K22+'13.mell_ÖNKfeladatok2014'!K23+'13.mell_ÖNKfeladatok2014'!K38+'13.mell_ÖNKfeladatok2014'!K39+'13.mell_ÖNKfeladatok2014'!K40+'13.mell_ÖNKfeladatok2014'!K41+'13.mell_ÖNKfeladatok2014'!K42+'13.mell_ÖNKfeladatok2014'!K43+'13.mell_ÖNKfeladatok2014'!K44+'13.mell_ÖNKfeladatok2014'!K45+'13.mell_ÖNKfeladatok2014'!K46+'13.mell_ÖNKfeladatok2014'!K47+'13.mell_ÖNKfeladatok2014'!K48+'13.mell_ÖNKfeladatok2014'!K49+'13.mell_ÖNKfeladatok2014'!K50</f>
        <v>0</v>
      </c>
      <c r="G8" s="869">
        <f>+'13.mell_ÖNKfeladatok2014'!M19+'13.mell_ÖNKfeladatok2014'!M20+'13.mell_ÖNKfeladatok2014'!M21+'13.mell_ÖNKfeladatok2014'!M22+'13.mell_ÖNKfeladatok2014'!M23+'13.mell_ÖNKfeladatok2014'!M38+'13.mell_ÖNKfeladatok2014'!M39+'13.mell_ÖNKfeladatok2014'!M40+'13.mell_ÖNKfeladatok2014'!M41+'13.mell_ÖNKfeladatok2014'!M42+'13.mell_ÖNKfeladatok2014'!M43+'13.mell_ÖNKfeladatok2014'!M44+'13.mell_ÖNKfeladatok2014'!M45+'13.mell_ÖNKfeladatok2014'!M46+'13.mell_ÖNKfeladatok2014'!M47+'13.mell_ÖNKfeladatok2014'!M48++'13.mell_ÖNKfeladatok2014'!M49+'13.mell_ÖNKfeladatok2014'!M50</f>
        <v>0</v>
      </c>
      <c r="H8" s="869">
        <f>+'13.mell_ÖNKfeladatok2014'!N19+'13.mell_ÖNKfeladatok2014'!N20+'13.mell_ÖNKfeladatok2014'!N21+'13.mell_ÖNKfeladatok2014'!N22+'13.mell_ÖNKfeladatok2014'!N23+'13.mell_ÖNKfeladatok2014'!N38+'13.mell_ÖNKfeladatok2014'!N39+'13.mell_ÖNKfeladatok2014'!N40+'13.mell_ÖNKfeladatok2014'!N41+'13.mell_ÖNKfeladatok2014'!N42+'13.mell_ÖNKfeladatok2014'!N43+'13.mell_ÖNKfeladatok2014'!N44+'13.mell_ÖNKfeladatok2014'!N45+'13.mell_ÖNKfeladatok2014'!N46+'13.mell_ÖNKfeladatok2014'!N47+'13.mell_ÖNKfeladatok2014'!N48++'13.mell_ÖNKfeladatok2014'!N49+'13.mell_ÖNKfeladatok2014'!N50</f>
        <v>0</v>
      </c>
      <c r="I8" s="869">
        <f>+'13.mell_ÖNKfeladatok2014'!O19+'13.mell_ÖNKfeladatok2014'!O20+'13.mell_ÖNKfeladatok2014'!O21+'13.mell_ÖNKfeladatok2014'!O22+'13.mell_ÖNKfeladatok2014'!O23+'13.mell_ÖNKfeladatok2014'!O38+'13.mell_ÖNKfeladatok2014'!O39+'13.mell_ÖNKfeladatok2014'!O40+'13.mell_ÖNKfeladatok2014'!O41+'13.mell_ÖNKfeladatok2014'!O42+'13.mell_ÖNKfeladatok2014'!O43+'13.mell_ÖNKfeladatok2014'!O44+'13.mell_ÖNKfeladatok2014'!O45+'13.mell_ÖNKfeladatok2014'!O46+'13.mell_ÖNKfeladatok2014'!O47+'13.mell_ÖNKfeladatok2014'!O48++'13.mell_ÖNKfeladatok2014'!O49+'13.mell_ÖNKfeladatok2014'!O50</f>
        <v>0</v>
      </c>
      <c r="J8" s="917">
        <f t="shared" si="2"/>
        <v>434572</v>
      </c>
      <c r="K8" s="869">
        <f>+'13.mell_ÖNKfeladatok2014'!H119+'13.mell_ÖNKfeladatok2014'!H120+'13.mell_ÖNKfeladatok2014'!H121+'13.mell_ÖNKfeladatok2014'!H122+'13.mell_ÖNKfeladatok2014'!H123+'13.mell_ÖNKfeladatok2014'!H138+'13.mell_ÖNKfeladatok2014'!H139+'13.mell_ÖNKfeladatok2014'!H140+'13.mell_ÖNKfeladatok2014'!H141+'13.mell_ÖNKfeladatok2014'!H142+'13.mell_ÖNKfeladatok2014'!H143+'13.mell_ÖNKfeladatok2014'!H144+'13.mell_ÖNKfeladatok2014'!H145+'13.mell_ÖNKfeladatok2014'!H146+'13.mell_ÖNKfeladatok2014'!H147+'13.mell_ÖNKfeladatok2014'!H148+'13.mell_ÖNKfeladatok2014'!H149+'13.mell_ÖNKfeladatok2014'!H150</f>
        <v>184345</v>
      </c>
      <c r="L8" s="869">
        <f>+'13.mell_ÖNKfeladatok2014'!I119+'13.mell_ÖNKfeladatok2014'!I120+'13.mell_ÖNKfeladatok2014'!I121+'13.mell_ÖNKfeladatok2014'!I122+'13.mell_ÖNKfeladatok2014'!I123+'13.mell_ÖNKfeladatok2014'!I138+'13.mell_ÖNKfeladatok2014'!I139+'13.mell_ÖNKfeladatok2014'!I140+'13.mell_ÖNKfeladatok2014'!I141+'13.mell_ÖNKfeladatok2014'!I142+'13.mell_ÖNKfeladatok2014'!I143+'13.mell_ÖNKfeladatok2014'!I144+'13.mell_ÖNKfeladatok2014'!I145+'13.mell_ÖNKfeladatok2014'!I146+'13.mell_ÖNKfeladatok2014'!I147+'13.mell_ÖNKfeladatok2014'!I148+'13.mell_ÖNKfeladatok2014'!I149+'13.mell_ÖNKfeladatok2014'!I150</f>
        <v>24888</v>
      </c>
      <c r="M8" s="869">
        <f>+'13.mell_ÖNKfeladatok2014'!J119+'13.mell_ÖNKfeladatok2014'!J120+'13.mell_ÖNKfeladatok2014'!J121+'13.mell_ÖNKfeladatok2014'!J122+'13.mell_ÖNKfeladatok2014'!J123+'13.mell_ÖNKfeladatok2014'!J138+'13.mell_ÖNKfeladatok2014'!J139+'13.mell_ÖNKfeladatok2014'!J140+'13.mell_ÖNKfeladatok2014'!J141+'13.mell_ÖNKfeladatok2014'!J142+'13.mell_ÖNKfeladatok2014'!J143+'13.mell_ÖNKfeladatok2014'!J144+'13.mell_ÖNKfeladatok2014'!J145+'13.mell_ÖNKfeladatok2014'!J146+'13.mell_ÖNKfeladatok2014'!J147+'13.mell_ÖNKfeladatok2014'!J148+'13.mell_ÖNKfeladatok2014'!J149+'13.mell_ÖNKfeladatok2014'!J150</f>
        <v>23294</v>
      </c>
      <c r="N8" s="869">
        <f>+'13.mell_ÖNKfeladatok2014'!K119+'13.mell_ÖNKfeladatok2014'!K120+'13.mell_ÖNKfeladatok2014'!K121+'13.mell_ÖNKfeladatok2014'!K122+'13.mell_ÖNKfeladatok2014'!K123+'13.mell_ÖNKfeladatok2014'!K138+'13.mell_ÖNKfeladatok2014'!K139+'13.mell_ÖNKfeladatok2014'!K140+'13.mell_ÖNKfeladatok2014'!K141+'13.mell_ÖNKfeladatok2014'!K142+'13.mell_ÖNKfeladatok2014'!K143+'13.mell_ÖNKfeladatok2014'!K144+'13.mell_ÖNKfeladatok2014'!K145+'13.mell_ÖNKfeladatok2014'!K146+'13.mell_ÖNKfeladatok2014'!K147+'13.mell_ÖNKfeladatok2014'!K148+'13.mell_ÖNKfeladatok2014'!K149+'13.mell_ÖNKfeladatok2014'!K150</f>
        <v>266825</v>
      </c>
      <c r="O8" s="869">
        <f>+'13.mell_ÖNKfeladatok2014'!L119+'13.mell_ÖNKfeladatok2014'!L120+'13.mell_ÖNKfeladatok2014'!L121+'13.mell_ÖNKfeladatok2014'!L122+'13.mell_ÖNKfeladatok2014'!L123+'13.mell_ÖNKfeladatok2014'!L138+'13.mell_ÖNKfeladatok2014'!L139+'13.mell_ÖNKfeladatok2014'!L140+'13.mell_ÖNKfeladatok2014'!L141+'13.mell_ÖNKfeladatok2014'!L142+'13.mell_ÖNKfeladatok2014'!L143+'13.mell_ÖNKfeladatok2014'!L144+'13.mell_ÖNKfeladatok2014'!L145+'13.mell_ÖNKfeladatok2014'!L146+'13.mell_ÖNKfeladatok2014'!L147+'13.mell_ÖNKfeladatok2014'!L148+'13.mell_ÖNKfeladatok2014'!L149+'13.mell_ÖNKfeladatok2014'!L150</f>
        <v>0</v>
      </c>
      <c r="P8" s="869">
        <f>+'13.mell_ÖNKfeladatok2014'!N119+'13.mell_ÖNKfeladatok2014'!N120+'13.mell_ÖNKfeladatok2014'!N121+'13.mell_ÖNKfeladatok2014'!N122+'13.mell_ÖNKfeladatok2014'!N123+'13.mell_ÖNKfeladatok2014'!N138+'13.mell_ÖNKfeladatok2014'!N139+'13.mell_ÖNKfeladatok2014'!N140+'13.mell_ÖNKfeladatok2014'!N141+'13.mell_ÖNKfeladatok2014'!N142+'13.mell_ÖNKfeladatok2014'!N143+'13.mell_ÖNKfeladatok2014'!N144+'13.mell_ÖNKfeladatok2014'!N145+'13.mell_ÖNKfeladatok2014'!N146+'13.mell_ÖNKfeladatok2014'!N147+'13.mell_ÖNKfeladatok2014'!N148+'13.mell_ÖNKfeladatok2014'!N149+'13.mell_ÖNKfeladatok2014'!N150</f>
        <v>5200</v>
      </c>
      <c r="Q8" s="869">
        <f>+'13.mell_ÖNKfeladatok2014'!O119+'13.mell_ÖNKfeladatok2014'!O120+'13.mell_ÖNKfeladatok2014'!O121+'13.mell_ÖNKfeladatok2014'!O122+'13.mell_ÖNKfeladatok2014'!O123+'13.mell_ÖNKfeladatok2014'!O138+'13.mell_ÖNKfeladatok2014'!O139+'13.mell_ÖNKfeladatok2014'!O140+'13.mell_ÖNKfeladatok2014'!O141+'13.mell_ÖNKfeladatok2014'!O142+'13.mell_ÖNKfeladatok2014'!O143+'13.mell_ÖNKfeladatok2014'!O144+'13.mell_ÖNKfeladatok2014'!O145+'13.mell_ÖNKfeladatok2014'!O146+'13.mell_ÖNKfeladatok2014'!O147+'13.mell_ÖNKfeladatok2014'!O148+'13.mell_ÖNKfeladatok2014'!O149+'13.mell_ÖNKfeladatok2014'!O150</f>
        <v>0</v>
      </c>
      <c r="R8" s="869">
        <f>+'13.mell_ÖNKfeladatok2014'!P119+'13.mell_ÖNKfeladatok2014'!P120+'13.mell_ÖNKfeladatok2014'!P121+'13.mell_ÖNKfeladatok2014'!P122+'13.mell_ÖNKfeladatok2014'!P123+'13.mell_ÖNKfeladatok2014'!P138+'13.mell_ÖNKfeladatok2014'!P139+'13.mell_ÖNKfeladatok2014'!P140+'13.mell_ÖNKfeladatok2014'!P141+'13.mell_ÖNKfeladatok2014'!P142+'13.mell_ÖNKfeladatok2014'!P143+'13.mell_ÖNKfeladatok2014'!P144+'13.mell_ÖNKfeladatok2014'!P145+'13.mell_ÖNKfeladatok2014'!P146+'13.mell_ÖNKfeladatok2014'!P147+'13.mell_ÖNKfeladatok2014'!P148+'13.mell_ÖNKfeladatok2014'!P149+'13.mell_ÖNKfeladatok2014'!P150</f>
        <v>0</v>
      </c>
      <c r="S8" s="917">
        <f t="shared" si="0"/>
        <v>504552</v>
      </c>
      <c r="T8" s="870">
        <f t="shared" si="3"/>
        <v>69980</v>
      </c>
      <c r="U8" s="866">
        <f>+ROUND('10.mell_támogatások2014'!C27/1000,0)</f>
        <v>64164</v>
      </c>
      <c r="V8" s="872">
        <f t="shared" si="1"/>
        <v>5816</v>
      </c>
    </row>
    <row r="9" spans="1:22" ht="12">
      <c r="A9" s="924" t="s">
        <v>16</v>
      </c>
      <c r="B9" s="868" t="s">
        <v>854</v>
      </c>
      <c r="C9" s="869">
        <f>+'13.mell_ÖNKfeladatok2014'!H27</f>
        <v>0</v>
      </c>
      <c r="D9" s="869">
        <f>+'13.mell_ÖNKfeladatok2014'!I27</f>
        <v>0</v>
      </c>
      <c r="E9" s="869">
        <f>+'13.mell_ÖNKfeladatok2014'!J27</f>
        <v>0</v>
      </c>
      <c r="F9" s="869">
        <f>+'13.mell_ÖNKfeladatok2014'!K27</f>
        <v>0</v>
      </c>
      <c r="G9" s="869">
        <f>+'13.mell_ÖNKfeladatok2014'!M27</f>
        <v>0</v>
      </c>
      <c r="H9" s="869">
        <f>+'13.mell_ÖNKfeladatok2014'!N27</f>
        <v>0</v>
      </c>
      <c r="I9" s="869">
        <f>+'13.mell_ÖNKfeladatok2014'!O27</f>
        <v>0</v>
      </c>
      <c r="J9" s="917">
        <f t="shared" si="2"/>
        <v>0</v>
      </c>
      <c r="K9" s="869">
        <f>+'13.mell_ÖNKfeladatok2014'!H127</f>
        <v>0</v>
      </c>
      <c r="L9" s="869">
        <f>+'13.mell_ÖNKfeladatok2014'!I127</f>
        <v>0</v>
      </c>
      <c r="M9" s="869">
        <f>+'13.mell_ÖNKfeladatok2014'!J127</f>
        <v>28250</v>
      </c>
      <c r="N9" s="869">
        <f>+'13.mell_ÖNKfeladatok2014'!K127</f>
        <v>0</v>
      </c>
      <c r="O9" s="869">
        <f>+'13.mell_ÖNKfeladatok2014'!L127</f>
        <v>0</v>
      </c>
      <c r="P9" s="869">
        <f>+'13.mell_ÖNKfeladatok2014'!N127</f>
        <v>0</v>
      </c>
      <c r="Q9" s="869">
        <f>+'13.mell_ÖNKfeladatok2014'!O127</f>
        <v>0</v>
      </c>
      <c r="R9" s="869">
        <f>+'13.mell_ÖNKfeladatok2014'!P127</f>
        <v>0</v>
      </c>
      <c r="S9" s="917">
        <f t="shared" si="0"/>
        <v>28250</v>
      </c>
      <c r="T9" s="870">
        <f t="shared" si="3"/>
        <v>28250</v>
      </c>
      <c r="U9" s="866">
        <f>+ROUND('10.mell_támogatások2014'!C15/1000,0)</f>
        <v>14917</v>
      </c>
      <c r="V9" s="872">
        <f t="shared" si="1"/>
        <v>13333</v>
      </c>
    </row>
    <row r="10" spans="1:22" ht="12">
      <c r="A10" s="924" t="s">
        <v>15</v>
      </c>
      <c r="B10" s="868" t="s">
        <v>1087</v>
      </c>
      <c r="C10" s="869">
        <f>+'13.mell_ÖNKfeladatok2014'!H34+'13.mell_ÖNKfeladatok2014'!H37+'13.mell_ÖNKfeladatok2014'!H52</f>
        <v>0</v>
      </c>
      <c r="D10" s="869">
        <f>+'13.mell_ÖNKfeladatok2014'!I34+'13.mell_ÖNKfeladatok2014'!I37+'13.mell_ÖNKfeladatok2014'!I52</f>
        <v>0</v>
      </c>
      <c r="E10" s="869">
        <f>+'13.mell_ÖNKfeladatok2014'!J34+'13.mell_ÖNKfeladatok2014'!J37+'13.mell_ÖNKfeladatok2014'!J52</f>
        <v>0</v>
      </c>
      <c r="F10" s="869">
        <f>+'13.mell_ÖNKfeladatok2014'!K34+'13.mell_ÖNKfeladatok2014'!K37+'13.mell_ÖNKfeladatok2014'!K52</f>
        <v>0</v>
      </c>
      <c r="G10" s="869">
        <f>+'13.mell_ÖNKfeladatok2014'!M34+'13.mell_ÖNKfeladatok2014'!M37+'13.mell_ÖNKfeladatok2014'!M52</f>
        <v>12356</v>
      </c>
      <c r="H10" s="869">
        <f>+'13.mell_ÖNKfeladatok2014'!N34+'13.mell_ÖNKfeladatok2014'!N37+'13.mell_ÖNKfeladatok2014'!N52</f>
        <v>0</v>
      </c>
      <c r="I10" s="869">
        <f>+'13.mell_ÖNKfeladatok2014'!O34+'13.mell_ÖNKfeladatok2014'!O37+'13.mell_ÖNKfeladatok2014'!O52</f>
        <v>0</v>
      </c>
      <c r="J10" s="917">
        <f>SUM(C10:I10)</f>
        <v>12356</v>
      </c>
      <c r="K10" s="869">
        <f>+'13.mell_ÖNKfeladatok2014'!H134+'13.mell_ÖNKfeladatok2014'!H137+'13.mell_ÖNKfeladatok2014'!H152</f>
        <v>0</v>
      </c>
      <c r="L10" s="869">
        <f>+'13.mell_ÖNKfeladatok2014'!I134+'13.mell_ÖNKfeladatok2014'!I137+'13.mell_ÖNKfeladatok2014'!I152</f>
        <v>0</v>
      </c>
      <c r="M10" s="869">
        <f>+'13.mell_ÖNKfeladatok2014'!J134+'13.mell_ÖNKfeladatok2014'!J137+'13.mell_ÖNKfeladatok2014'!J152</f>
        <v>13489</v>
      </c>
      <c r="N10" s="869">
        <f>+'13.mell_ÖNKfeladatok2014'!K134+'13.mell_ÖNKfeladatok2014'!K137+'13.mell_ÖNKfeladatok2014'!K152</f>
        <v>0</v>
      </c>
      <c r="O10" s="869">
        <f>+'13.mell_ÖNKfeladatok2014'!L134+'13.mell_ÖNKfeladatok2014'!L137+'13.mell_ÖNKfeladatok2014'!L152</f>
        <v>0</v>
      </c>
      <c r="P10" s="869">
        <f>+'13.mell_ÖNKfeladatok2014'!N134+'13.mell_ÖNKfeladatok2014'!N137+'13.mell_ÖNKfeladatok2014'!N152</f>
        <v>64039</v>
      </c>
      <c r="Q10" s="869">
        <f>+'13.mell_ÖNKfeladatok2014'!O134+'13.mell_ÖNKfeladatok2014'!O137+'13.mell_ÖNKfeladatok2014'!O152</f>
        <v>0</v>
      </c>
      <c r="R10" s="869">
        <f>+'13.mell_ÖNKfeladatok2014'!P134+'13.mell_ÖNKfeladatok2014'!P137+'13.mell_ÖNKfeladatok2014'!P152</f>
        <v>0</v>
      </c>
      <c r="S10" s="917">
        <f>SUM(K10:R10)</f>
        <v>77528</v>
      </c>
      <c r="T10" s="870">
        <f>S10-J10</f>
        <v>65172</v>
      </c>
      <c r="U10" s="871"/>
      <c r="V10" s="872">
        <f>+T10-U10</f>
        <v>65172</v>
      </c>
    </row>
    <row r="11" spans="1:22" ht="12.75" thickBot="1">
      <c r="A11" s="925" t="s">
        <v>14</v>
      </c>
      <c r="B11" s="873" t="s">
        <v>1057</v>
      </c>
      <c r="C11" s="874">
        <f>+'13.mell_ÖNKfeladatok2014'!H53-C5-C6-C7-C8-C9-C10</f>
        <v>689815</v>
      </c>
      <c r="D11" s="874">
        <f>+'13.mell_ÖNKfeladatok2014'!I53-D5-D6-D7-D8-D9-D10</f>
        <v>290150</v>
      </c>
      <c r="E11" s="874">
        <f>+'13.mell_ÖNKfeladatok2014'!J53-E5-E6-E7-E8-E9-E10</f>
        <v>25623</v>
      </c>
      <c r="F11" s="874">
        <f>+'13.mell_ÖNKfeladatok2014'!K53-F5-F6-F7-F8-F9-F10</f>
        <v>54162</v>
      </c>
      <c r="G11" s="874">
        <f>+'13.mell_ÖNKfeladatok2014'!M53-G5-G6-G7-G8-G9-G10</f>
        <v>11000</v>
      </c>
      <c r="H11" s="874">
        <f>+'13.mell_ÖNKfeladatok2014'!N53-H5-H6-H7-H8-H9-H10</f>
        <v>0</v>
      </c>
      <c r="I11" s="874">
        <f>+'13.mell_ÖNKfeladatok2014'!O53-I5-I6-I7-I8-I9-I10</f>
        <v>0</v>
      </c>
      <c r="J11" s="917">
        <f t="shared" si="2"/>
        <v>1070750</v>
      </c>
      <c r="K11" s="869">
        <f>+'13.mell_ÖNKfeladatok2014'!H153-K5-K6-K7-K8-K9-K10</f>
        <v>1319</v>
      </c>
      <c r="L11" s="869">
        <f>+'13.mell_ÖNKfeladatok2014'!I153-L5-L6-L7-L8-L9-L10</f>
        <v>356</v>
      </c>
      <c r="M11" s="869">
        <f>+'13.mell_ÖNKfeladatok2014'!J153-M5-M6-M7-M8-M9-M10</f>
        <v>178486</v>
      </c>
      <c r="N11" s="869">
        <f>+'13.mell_ÖNKfeladatok2014'!K153-N5-N6-N7-N8-N9-N10</f>
        <v>0</v>
      </c>
      <c r="O11" s="869">
        <f>+'13.mell_ÖNKfeladatok2014'!L153-O5-O6-O7-O8-O9-O10</f>
        <v>89698</v>
      </c>
      <c r="P11" s="869">
        <f>+'13.mell_ÖNKfeladatok2014'!N153-P5-P6-P7-P8-P9-P10</f>
        <v>3540</v>
      </c>
      <c r="Q11" s="869">
        <f>+'13.mell_ÖNKfeladatok2014'!O153-Q5-Q6-Q7-Q8-Q9-Q10</f>
        <v>0</v>
      </c>
      <c r="R11" s="869">
        <f>+'13.mell_ÖNKfeladatok2014'!P153-R5-R6-R7-R8-R9-R10</f>
        <v>0</v>
      </c>
      <c r="S11" s="917">
        <f t="shared" si="0"/>
        <v>273399</v>
      </c>
      <c r="T11" s="870">
        <f t="shared" si="3"/>
        <v>-797351</v>
      </c>
      <c r="U11" s="871">
        <f>-ROUND('10.mell_támogatások2014'!C10/1000,0)-ROUND('10.mell_támogatások2014'!C12/1000,0)-ROUND('10.mell_támogatások2014'!C13/1000,0)-ROUND('10.mell_támogatások2014'!C14/1000,0)-ROUND('10.mell_támogatások2014'!C15/1000,0)-ROUND('10.mell_támogatások2014'!C24/1000,0)-ROUND('10.mell_támogatások2014'!C27/1000,0)-ROUND('10.mell_támogatások2014'!C38/1000,0)-ROUND('10.mell_támogatások2014'!C47/1000,0)-ROUND('10.mell_támogatások2014'!C51/1000,0)-ROUND('10.mell_támogatások2014'!C87/1000,0)-(9950-9950+6329-6329+250)</f>
        <v>-520189</v>
      </c>
      <c r="V11" s="872">
        <f t="shared" si="1"/>
        <v>-277162</v>
      </c>
    </row>
    <row r="12" spans="1:22" s="852" customFormat="1" ht="12.75" thickBot="1">
      <c r="A12" s="875" t="s">
        <v>765</v>
      </c>
      <c r="B12" s="876" t="s">
        <v>482</v>
      </c>
      <c r="C12" s="877">
        <f>SUM(C5:C11)</f>
        <v>1124387</v>
      </c>
      <c r="D12" s="878">
        <f aca="true" t="shared" si="4" ref="D12:V12">SUM(D5:D11)</f>
        <v>290150</v>
      </c>
      <c r="E12" s="878">
        <f t="shared" si="4"/>
        <v>25750</v>
      </c>
      <c r="F12" s="878">
        <f t="shared" si="4"/>
        <v>54162</v>
      </c>
      <c r="G12" s="878">
        <f t="shared" si="4"/>
        <v>23356</v>
      </c>
      <c r="H12" s="878">
        <f t="shared" si="4"/>
        <v>0</v>
      </c>
      <c r="I12" s="879">
        <f t="shared" si="4"/>
        <v>0</v>
      </c>
      <c r="J12" s="880">
        <f t="shared" si="4"/>
        <v>1517805</v>
      </c>
      <c r="K12" s="877">
        <f t="shared" si="4"/>
        <v>185664</v>
      </c>
      <c r="L12" s="877">
        <f t="shared" si="4"/>
        <v>25244</v>
      </c>
      <c r="M12" s="877">
        <f t="shared" si="4"/>
        <v>268446</v>
      </c>
      <c r="N12" s="877">
        <f t="shared" si="4"/>
        <v>266825</v>
      </c>
      <c r="O12" s="877">
        <f t="shared" si="4"/>
        <v>89698</v>
      </c>
      <c r="P12" s="877">
        <f t="shared" si="4"/>
        <v>72779</v>
      </c>
      <c r="Q12" s="877">
        <f t="shared" si="4"/>
        <v>0</v>
      </c>
      <c r="R12" s="877">
        <f t="shared" si="4"/>
        <v>0</v>
      </c>
      <c r="S12" s="880">
        <f t="shared" si="4"/>
        <v>908656</v>
      </c>
      <c r="T12" s="877">
        <f t="shared" si="4"/>
        <v>-609149</v>
      </c>
      <c r="U12" s="881">
        <f t="shared" si="4"/>
        <v>-399670</v>
      </c>
      <c r="V12" s="880">
        <f t="shared" si="4"/>
        <v>-209479</v>
      </c>
    </row>
    <row r="13" spans="1:22" ht="12">
      <c r="A13" s="923" t="s">
        <v>13</v>
      </c>
      <c r="B13" s="863" t="s">
        <v>1058</v>
      </c>
      <c r="C13" s="864">
        <f>+'13.mell_ÖNKfeladatok2014'!H56</f>
        <v>1800</v>
      </c>
      <c r="D13" s="864">
        <f>+'13.mell_ÖNKfeladatok2014'!I56</f>
        <v>5310</v>
      </c>
      <c r="E13" s="864">
        <f>+'13.mell_ÖNKfeladatok2014'!J56</f>
        <v>0</v>
      </c>
      <c r="F13" s="864">
        <f>+'13.mell_ÖNKfeladatok2014'!K56</f>
        <v>0</v>
      </c>
      <c r="G13" s="864">
        <f>+'13.mell_ÖNKfeladatok2014'!M56</f>
        <v>0</v>
      </c>
      <c r="H13" s="864">
        <f>+'13.mell_ÖNKfeladatok2014'!N56</f>
        <v>0</v>
      </c>
      <c r="I13" s="864">
        <f>+'13.mell_ÖNKfeladatok2014'!O56</f>
        <v>0</v>
      </c>
      <c r="J13" s="917">
        <f t="shared" si="2"/>
        <v>7110</v>
      </c>
      <c r="K13" s="869">
        <f>+'13.mell_ÖNKfeladatok2014'!H156</f>
        <v>4904</v>
      </c>
      <c r="L13" s="869">
        <f>+'13.mell_ÖNKfeladatok2014'!I156</f>
        <v>1275</v>
      </c>
      <c r="M13" s="869">
        <f>+'13.mell_ÖNKfeladatok2014'!J156</f>
        <v>931</v>
      </c>
      <c r="N13" s="869">
        <f>+'13.mell_ÖNKfeladatok2014'!K156</f>
        <v>0</v>
      </c>
      <c r="O13" s="869">
        <f>+'13.mell_ÖNKfeladatok2014'!L156</f>
        <v>0</v>
      </c>
      <c r="P13" s="869">
        <f>+'13.mell_ÖNKfeladatok2014'!N156</f>
        <v>0</v>
      </c>
      <c r="Q13" s="869">
        <f>+'13.mell_ÖNKfeladatok2014'!O156</f>
        <v>0</v>
      </c>
      <c r="R13" s="869">
        <f>+'13.mell_ÖNKfeladatok2014'!P156</f>
        <v>0</v>
      </c>
      <c r="S13" s="917">
        <f>SUM(K13:R13)</f>
        <v>7110</v>
      </c>
      <c r="T13" s="870">
        <f t="shared" si="3"/>
        <v>0</v>
      </c>
      <c r="U13" s="871"/>
      <c r="V13" s="872">
        <f>+T13-U13</f>
        <v>0</v>
      </c>
    </row>
    <row r="14" spans="1:22" ht="12">
      <c r="A14" s="925" t="s">
        <v>12</v>
      </c>
      <c r="B14" s="873" t="s">
        <v>1085</v>
      </c>
      <c r="C14" s="874">
        <f>+'13.mell_ÖNKfeladatok2014'!H60+'13.mell_ÖNKfeladatok2014'!H61+'13.mell_ÖNKfeladatok2014'!H62+'13.mell_ÖNKfeladatok2014'!H63+'13.mell_ÖNKfeladatok2014'!H64+'13.mell_ÖNKfeladatok2014'!H66</f>
        <v>0</v>
      </c>
      <c r="D14" s="874">
        <f>+'13.mell_ÖNKfeladatok2014'!I60+'13.mell_ÖNKfeladatok2014'!I61+'13.mell_ÖNKfeladatok2014'!I62+'13.mell_ÖNKfeladatok2014'!I63+'13.mell_ÖNKfeladatok2014'!I64+'13.mell_ÖNKfeladatok2014'!I66</f>
        <v>0</v>
      </c>
      <c r="E14" s="874">
        <f>+'13.mell_ÖNKfeladatok2014'!J60+'13.mell_ÖNKfeladatok2014'!J61+'13.mell_ÖNKfeladatok2014'!J62+'13.mell_ÖNKfeladatok2014'!J63+'13.mell_ÖNKfeladatok2014'!J64+'13.mell_ÖNKfeladatok2014'!J66</f>
        <v>0</v>
      </c>
      <c r="F14" s="874">
        <f>+'13.mell_ÖNKfeladatok2014'!K60+'13.mell_ÖNKfeladatok2014'!K61+'13.mell_ÖNKfeladatok2014'!K62+'13.mell_ÖNKfeladatok2014'!K63+'13.mell_ÖNKfeladatok2014'!K64+'13.mell_ÖNKfeladatok2014'!K66</f>
        <v>0</v>
      </c>
      <c r="G14" s="874">
        <f>+'13.mell_ÖNKfeladatok2014'!M60+'13.mell_ÖNKfeladatok2014'!M61+'13.mell_ÖNKfeladatok2014'!M62+'13.mell_ÖNKfeladatok2014'!M63+'13.mell_ÖNKfeladatok2014'!M64+'13.mell_ÖNKfeladatok2014'!M66</f>
        <v>0</v>
      </c>
      <c r="H14" s="874">
        <f>+'13.mell_ÖNKfeladatok2014'!N60+'13.mell_ÖNKfeladatok2014'!N61+'13.mell_ÖNKfeladatok2014'!N62+'13.mell_ÖNKfeladatok2014'!N63+'13.mell_ÖNKfeladatok2014'!N64+'13.mell_ÖNKfeladatok2014'!N66</f>
        <v>0</v>
      </c>
      <c r="I14" s="874">
        <f>+'13.mell_ÖNKfeladatok2014'!O60+'13.mell_ÖNKfeladatok2014'!O61+'13.mell_ÖNKfeladatok2014'!O62+'13.mell_ÖNKfeladatok2014'!O63+'13.mell_ÖNKfeladatok2014'!O64+'13.mell_ÖNKfeladatok2014'!O66</f>
        <v>0</v>
      </c>
      <c r="J14" s="918">
        <f>SUM(C14:I14)</f>
        <v>0</v>
      </c>
      <c r="K14" s="869">
        <f>+'13.mell_ÖNKfeladatok2014'!H160+'13.mell_ÖNKfeladatok2014'!H161+'13.mell_ÖNKfeladatok2014'!H162+'13.mell_ÖNKfeladatok2014'!H163+'13.mell_ÖNKfeladatok2014'!H164+'13.mell_ÖNKfeladatok2014'!H166</f>
        <v>0</v>
      </c>
      <c r="L14" s="869">
        <f>+'13.mell_ÖNKfeladatok2014'!I160+'13.mell_ÖNKfeladatok2014'!I161+'13.mell_ÖNKfeladatok2014'!I162+'13.mell_ÖNKfeladatok2014'!I163+'13.mell_ÖNKfeladatok2014'!I164+'13.mell_ÖNKfeladatok2014'!I166</f>
        <v>0</v>
      </c>
      <c r="M14" s="869">
        <f>+'13.mell_ÖNKfeladatok2014'!J160+'13.mell_ÖNKfeladatok2014'!J161+'13.mell_ÖNKfeladatok2014'!J162+'13.mell_ÖNKfeladatok2014'!J163+'13.mell_ÖNKfeladatok2014'!J164+'13.mell_ÖNKfeladatok2014'!J166</f>
        <v>0</v>
      </c>
      <c r="N14" s="869">
        <f>+'13.mell_ÖNKfeladatok2014'!K160+'13.mell_ÖNKfeladatok2014'!K161+'13.mell_ÖNKfeladatok2014'!K162+'13.mell_ÖNKfeladatok2014'!K163+'13.mell_ÖNKfeladatok2014'!K164+'13.mell_ÖNKfeladatok2014'!K166</f>
        <v>0</v>
      </c>
      <c r="O14" s="869">
        <f>+'13.mell_ÖNKfeladatok2014'!L160+'13.mell_ÖNKfeladatok2014'!L161+'13.mell_ÖNKfeladatok2014'!L162+'13.mell_ÖNKfeladatok2014'!L163+'13.mell_ÖNKfeladatok2014'!L164+'13.mell_ÖNKfeladatok2014'!L166</f>
        <v>0</v>
      </c>
      <c r="P14" s="869">
        <f>+'13.mell_ÖNKfeladatok2014'!N160+'13.mell_ÖNKfeladatok2014'!N161+'13.mell_ÖNKfeladatok2014'!N162+'13.mell_ÖNKfeladatok2014'!N163+'13.mell_ÖNKfeladatok2014'!N164+'13.mell_ÖNKfeladatok2014'!N166</f>
        <v>0</v>
      </c>
      <c r="Q14" s="869">
        <f>+'13.mell_ÖNKfeladatok2014'!O160+'13.mell_ÖNKfeladatok2014'!O161+'13.mell_ÖNKfeladatok2014'!O162+'13.mell_ÖNKfeladatok2014'!O163+'13.mell_ÖNKfeladatok2014'!O164+'13.mell_ÖNKfeladatok2014'!O166</f>
        <v>0</v>
      </c>
      <c r="R14" s="869">
        <f>+'13.mell_ÖNKfeladatok2014'!P160+'13.mell_ÖNKfeladatok2014'!P161+'13.mell_ÖNKfeladatok2014'!P162+'13.mell_ÖNKfeladatok2014'!P163+'13.mell_ÖNKfeladatok2014'!P164+'13.mell_ÖNKfeladatok2014'!P166</f>
        <v>0</v>
      </c>
      <c r="S14" s="917">
        <f>SUM(K14:R14)</f>
        <v>0</v>
      </c>
      <c r="T14" s="870">
        <f>S14-J14</f>
        <v>0</v>
      </c>
      <c r="U14" s="871"/>
      <c r="V14" s="872">
        <f>+T14-U14</f>
        <v>0</v>
      </c>
    </row>
    <row r="15" spans="1:22" ht="12.75" thickBot="1">
      <c r="A15" s="925" t="s">
        <v>11</v>
      </c>
      <c r="B15" s="873" t="s">
        <v>1059</v>
      </c>
      <c r="C15" s="874">
        <f>+'13.mell_ÖNKfeladatok2014'!H67-C13-C14</f>
        <v>0</v>
      </c>
      <c r="D15" s="874">
        <f>+'13.mell_ÖNKfeladatok2014'!I67-D13-D14</f>
        <v>0</v>
      </c>
      <c r="E15" s="874">
        <f>+'13.mell_ÖNKfeladatok2014'!J67-E13-E14</f>
        <v>0</v>
      </c>
      <c r="F15" s="874">
        <f>+'13.mell_ÖNKfeladatok2014'!K67-F13-F14</f>
        <v>0</v>
      </c>
      <c r="G15" s="874">
        <f>+'13.mell_ÖNKfeladatok2014'!M67-G13-G14</f>
        <v>0</v>
      </c>
      <c r="H15" s="874">
        <f>+'13.mell_ÖNKfeladatok2014'!N67-H13-H14</f>
        <v>300</v>
      </c>
      <c r="I15" s="874">
        <f>+'13.mell_ÖNKfeladatok2014'!O67-I13-I14</f>
        <v>2700</v>
      </c>
      <c r="J15" s="918">
        <f t="shared" si="2"/>
        <v>3000</v>
      </c>
      <c r="K15" s="869">
        <f>+'13.mell_ÖNKfeladatok2014'!H167-K13-K14</f>
        <v>0</v>
      </c>
      <c r="L15" s="869">
        <f>+'13.mell_ÖNKfeladatok2014'!I167-L13-L14</f>
        <v>0</v>
      </c>
      <c r="M15" s="869">
        <f>+'13.mell_ÖNKfeladatok2014'!J167-M13-M14</f>
        <v>1850</v>
      </c>
      <c r="N15" s="869">
        <f>+'13.mell_ÖNKfeladatok2014'!K167-N13-N14</f>
        <v>0</v>
      </c>
      <c r="O15" s="869">
        <f>+'13.mell_ÖNKfeladatok2014'!L167-O13-O14</f>
        <v>2750</v>
      </c>
      <c r="P15" s="869">
        <f>+'13.mell_ÖNKfeladatok2014'!N167-P13-P14</f>
        <v>0</v>
      </c>
      <c r="Q15" s="869">
        <f>+'13.mell_ÖNKfeladatok2014'!O167-Q13-Q14</f>
        <v>0</v>
      </c>
      <c r="R15" s="869">
        <f>+'13.mell_ÖNKfeladatok2014'!P167-R13-R14</f>
        <v>0</v>
      </c>
      <c r="S15" s="917">
        <f>SUM(K15:R15)</f>
        <v>4600</v>
      </c>
      <c r="T15" s="870">
        <f t="shared" si="3"/>
        <v>1600</v>
      </c>
      <c r="U15" s="871"/>
      <c r="V15" s="872">
        <f>+T15-U15</f>
        <v>1600</v>
      </c>
    </row>
    <row r="16" spans="1:22" s="852" customFormat="1" ht="12.75" thickBot="1">
      <c r="A16" s="875" t="s">
        <v>766</v>
      </c>
      <c r="B16" s="876" t="s">
        <v>483</v>
      </c>
      <c r="C16" s="877">
        <f>SUM(C13:C15)</f>
        <v>1800</v>
      </c>
      <c r="D16" s="878">
        <f aca="true" t="shared" si="5" ref="D16:V16">SUM(D13:D15)</f>
        <v>5310</v>
      </c>
      <c r="E16" s="878">
        <f t="shared" si="5"/>
        <v>0</v>
      </c>
      <c r="F16" s="878">
        <f t="shared" si="5"/>
        <v>0</v>
      </c>
      <c r="G16" s="878">
        <f t="shared" si="5"/>
        <v>0</v>
      </c>
      <c r="H16" s="878">
        <f t="shared" si="5"/>
        <v>300</v>
      </c>
      <c r="I16" s="881">
        <f t="shared" si="5"/>
        <v>2700</v>
      </c>
      <c r="J16" s="880">
        <f t="shared" si="5"/>
        <v>10110</v>
      </c>
      <c r="K16" s="877">
        <f t="shared" si="5"/>
        <v>4904</v>
      </c>
      <c r="L16" s="877">
        <f t="shared" si="5"/>
        <v>1275</v>
      </c>
      <c r="M16" s="877">
        <f t="shared" si="5"/>
        <v>2781</v>
      </c>
      <c r="N16" s="877">
        <f t="shared" si="5"/>
        <v>0</v>
      </c>
      <c r="O16" s="877">
        <f t="shared" si="5"/>
        <v>2750</v>
      </c>
      <c r="P16" s="877">
        <f t="shared" si="5"/>
        <v>0</v>
      </c>
      <c r="Q16" s="877">
        <f t="shared" si="5"/>
        <v>0</v>
      </c>
      <c r="R16" s="877">
        <f t="shared" si="5"/>
        <v>0</v>
      </c>
      <c r="S16" s="880">
        <f t="shared" si="5"/>
        <v>11710</v>
      </c>
      <c r="T16" s="877">
        <f t="shared" si="5"/>
        <v>1600</v>
      </c>
      <c r="U16" s="881">
        <f t="shared" si="5"/>
        <v>0</v>
      </c>
      <c r="V16" s="880">
        <f t="shared" si="5"/>
        <v>1600</v>
      </c>
    </row>
    <row r="17" spans="1:22" ht="12.75" thickBot="1">
      <c r="A17" s="926" t="s">
        <v>10</v>
      </c>
      <c r="B17" s="882" t="s">
        <v>484</v>
      </c>
      <c r="C17" s="883">
        <f>+'13.mell_ÖNKfeladatok2014'!H72</f>
        <v>0</v>
      </c>
      <c r="D17" s="883">
        <f>+'13.mell_ÖNKfeladatok2014'!I72</f>
        <v>0</v>
      </c>
      <c r="E17" s="883">
        <f>+'13.mell_ÖNKfeladatok2014'!J72</f>
        <v>0</v>
      </c>
      <c r="F17" s="883">
        <f>+'13.mell_ÖNKfeladatok2014'!K72</f>
        <v>0</v>
      </c>
      <c r="G17" s="883">
        <f>+'13.mell_ÖNKfeladatok2014'!M72</f>
        <v>0</v>
      </c>
      <c r="H17" s="883">
        <f>+'13.mell_ÖNKfeladatok2014'!N72</f>
        <v>0</v>
      </c>
      <c r="I17" s="883">
        <f>+'13.mell_ÖNKfeladatok2014'!O72</f>
        <v>0</v>
      </c>
      <c r="J17" s="919">
        <f t="shared" si="2"/>
        <v>0</v>
      </c>
      <c r="K17" s="869">
        <f>+'13.mell_ÖNKfeladatok2014'!H172</f>
        <v>0</v>
      </c>
      <c r="L17" s="869">
        <f>+'13.mell_ÖNKfeladatok2014'!I172</f>
        <v>0</v>
      </c>
      <c r="M17" s="869">
        <f>+'13.mell_ÖNKfeladatok2014'!J172</f>
        <v>0</v>
      </c>
      <c r="N17" s="869">
        <f>+'13.mell_ÖNKfeladatok2014'!K172</f>
        <v>0</v>
      </c>
      <c r="O17" s="869">
        <f>+'13.mell_ÖNKfeladatok2014'!L172</f>
        <v>0</v>
      </c>
      <c r="P17" s="869">
        <f>+'13.mell_ÖNKfeladatok2014'!N172</f>
        <v>0</v>
      </c>
      <c r="Q17" s="869">
        <f>+'13.mell_ÖNKfeladatok2014'!O172</f>
        <v>0</v>
      </c>
      <c r="R17" s="869">
        <f>+'13.mell_ÖNKfeladatok2014'!P172</f>
        <v>0</v>
      </c>
      <c r="S17" s="917">
        <f>SUM(K17:R17)</f>
        <v>0</v>
      </c>
      <c r="T17" s="870">
        <f t="shared" si="3"/>
        <v>0</v>
      </c>
      <c r="U17" s="871"/>
      <c r="V17" s="872">
        <f>+T17-U17</f>
        <v>0</v>
      </c>
    </row>
    <row r="18" spans="1:22" s="852" customFormat="1" ht="12.75" thickBot="1">
      <c r="A18" s="875" t="s">
        <v>767</v>
      </c>
      <c r="B18" s="876" t="s">
        <v>484</v>
      </c>
      <c r="C18" s="877">
        <f>SUM(C17)</f>
        <v>0</v>
      </c>
      <c r="D18" s="878">
        <f aca="true" t="shared" si="6" ref="D18:V18">SUM(D17)</f>
        <v>0</v>
      </c>
      <c r="E18" s="878">
        <f t="shared" si="6"/>
        <v>0</v>
      </c>
      <c r="F18" s="878">
        <f t="shared" si="6"/>
        <v>0</v>
      </c>
      <c r="G18" s="878">
        <f t="shared" si="6"/>
        <v>0</v>
      </c>
      <c r="H18" s="878">
        <f t="shared" si="6"/>
        <v>0</v>
      </c>
      <c r="I18" s="881">
        <f t="shared" si="6"/>
        <v>0</v>
      </c>
      <c r="J18" s="880">
        <f t="shared" si="6"/>
        <v>0</v>
      </c>
      <c r="K18" s="877">
        <f t="shared" si="6"/>
        <v>0</v>
      </c>
      <c r="L18" s="877">
        <f t="shared" si="6"/>
        <v>0</v>
      </c>
      <c r="M18" s="877">
        <f t="shared" si="6"/>
        <v>0</v>
      </c>
      <c r="N18" s="877">
        <f t="shared" si="6"/>
        <v>0</v>
      </c>
      <c r="O18" s="877">
        <f t="shared" si="6"/>
        <v>0</v>
      </c>
      <c r="P18" s="877">
        <f t="shared" si="6"/>
        <v>0</v>
      </c>
      <c r="Q18" s="877">
        <f t="shared" si="6"/>
        <v>0</v>
      </c>
      <c r="R18" s="877">
        <f t="shared" si="6"/>
        <v>0</v>
      </c>
      <c r="S18" s="880">
        <f t="shared" si="6"/>
        <v>0</v>
      </c>
      <c r="T18" s="877">
        <f t="shared" si="6"/>
        <v>0</v>
      </c>
      <c r="U18" s="881">
        <f t="shared" si="6"/>
        <v>0</v>
      </c>
      <c r="V18" s="880">
        <f t="shared" si="6"/>
        <v>0</v>
      </c>
    </row>
    <row r="19" spans="1:22" s="852" customFormat="1" ht="12.75" thickBot="1">
      <c r="A19" s="884" t="s">
        <v>42</v>
      </c>
      <c r="B19" s="885" t="s">
        <v>485</v>
      </c>
      <c r="C19" s="886">
        <f>+C12+C16+C18</f>
        <v>1126187</v>
      </c>
      <c r="D19" s="887">
        <f aca="true" t="shared" si="7" ref="D19:V19">+D12+D16+D18</f>
        <v>295460</v>
      </c>
      <c r="E19" s="887">
        <f t="shared" si="7"/>
        <v>25750</v>
      </c>
      <c r="F19" s="887">
        <f t="shared" si="7"/>
        <v>54162</v>
      </c>
      <c r="G19" s="887">
        <f t="shared" si="7"/>
        <v>23356</v>
      </c>
      <c r="H19" s="887">
        <f t="shared" si="7"/>
        <v>300</v>
      </c>
      <c r="I19" s="888">
        <f t="shared" si="7"/>
        <v>2700</v>
      </c>
      <c r="J19" s="889">
        <f t="shared" si="7"/>
        <v>1527915</v>
      </c>
      <c r="K19" s="886">
        <f t="shared" si="7"/>
        <v>190568</v>
      </c>
      <c r="L19" s="886">
        <f t="shared" si="7"/>
        <v>26519</v>
      </c>
      <c r="M19" s="886">
        <f t="shared" si="7"/>
        <v>271227</v>
      </c>
      <c r="N19" s="886">
        <f t="shared" si="7"/>
        <v>266825</v>
      </c>
      <c r="O19" s="886">
        <f t="shared" si="7"/>
        <v>92448</v>
      </c>
      <c r="P19" s="886">
        <f t="shared" si="7"/>
        <v>72779</v>
      </c>
      <c r="Q19" s="886">
        <f t="shared" si="7"/>
        <v>0</v>
      </c>
      <c r="R19" s="886">
        <f t="shared" si="7"/>
        <v>0</v>
      </c>
      <c r="S19" s="889">
        <f t="shared" si="7"/>
        <v>920366</v>
      </c>
      <c r="T19" s="886">
        <f t="shared" si="7"/>
        <v>-607549</v>
      </c>
      <c r="U19" s="888">
        <f t="shared" si="7"/>
        <v>-399670</v>
      </c>
      <c r="V19" s="889">
        <f t="shared" si="7"/>
        <v>-207879</v>
      </c>
    </row>
    <row r="20" spans="1:22" s="231" customFormat="1" ht="12">
      <c r="A20" s="890"/>
      <c r="B20" s="891"/>
      <c r="C20" s="892"/>
      <c r="D20" s="893"/>
      <c r="E20" s="893"/>
      <c r="F20" s="893"/>
      <c r="G20" s="893"/>
      <c r="H20" s="893"/>
      <c r="I20" s="894"/>
      <c r="J20" s="895"/>
      <c r="K20" s="892"/>
      <c r="L20" s="892"/>
      <c r="M20" s="892"/>
      <c r="N20" s="892"/>
      <c r="O20" s="892"/>
      <c r="P20" s="892"/>
      <c r="Q20" s="892"/>
      <c r="R20" s="892"/>
      <c r="S20" s="895"/>
      <c r="T20" s="892"/>
      <c r="U20" s="894"/>
      <c r="V20" s="895"/>
    </row>
    <row r="21" spans="1:22" ht="12">
      <c r="A21" s="925" t="s">
        <v>9</v>
      </c>
      <c r="B21" s="873" t="s">
        <v>486</v>
      </c>
      <c r="C21" s="874">
        <f>+'13.mell_ÖNKfeladatok2014'!H75</f>
        <v>0</v>
      </c>
      <c r="D21" s="874">
        <f>+'13.mell_ÖNKfeladatok2014'!I75</f>
        <v>0</v>
      </c>
      <c r="E21" s="874">
        <f>+'13.mell_ÖNKfeladatok2014'!J75</f>
        <v>0</v>
      </c>
      <c r="F21" s="874">
        <f>+'13.mell_ÖNKfeladatok2014'!K75</f>
        <v>0</v>
      </c>
      <c r="G21" s="874">
        <f>+'13.mell_ÖNKfeladatok2014'!M75</f>
        <v>0</v>
      </c>
      <c r="H21" s="874">
        <f>+'13.mell_ÖNKfeladatok2014'!N75</f>
        <v>0</v>
      </c>
      <c r="I21" s="874">
        <f>+'13.mell_ÖNKfeladatok2014'!O75</f>
        <v>0</v>
      </c>
      <c r="J21" s="917">
        <f>SUM(C21:I21)</f>
        <v>0</v>
      </c>
      <c r="K21" s="869">
        <f>+'13.mell_ÖNKfeladatok2014'!H175</f>
        <v>30615</v>
      </c>
      <c r="L21" s="869">
        <f>+'13.mell_ÖNKfeladatok2014'!I175</f>
        <v>7508</v>
      </c>
      <c r="M21" s="869">
        <f>+'13.mell_ÖNKfeladatok2014'!J175</f>
        <v>4314</v>
      </c>
      <c r="N21" s="869">
        <f>+'13.mell_ÖNKfeladatok2014'!K175</f>
        <v>0</v>
      </c>
      <c r="O21" s="869">
        <f>+'13.mell_ÖNKfeladatok2014'!L175</f>
        <v>0</v>
      </c>
      <c r="P21" s="869">
        <f>+'13.mell_ÖNKfeladatok2014'!N175</f>
        <v>0</v>
      </c>
      <c r="Q21" s="869">
        <f>+'13.mell_ÖNKfeladatok2014'!O175</f>
        <v>0</v>
      </c>
      <c r="R21" s="869">
        <f>+'13.mell_ÖNKfeladatok2014'!P175</f>
        <v>0</v>
      </c>
      <c r="S21" s="917">
        <f>SUM(K21:R21)</f>
        <v>42437</v>
      </c>
      <c r="T21" s="870">
        <f>S21-J21</f>
        <v>42437</v>
      </c>
      <c r="U21" s="871"/>
      <c r="V21" s="872">
        <f>+T21-U21</f>
        <v>42437</v>
      </c>
    </row>
    <row r="22" spans="1:22" ht="24">
      <c r="A22" s="925" t="s">
        <v>73</v>
      </c>
      <c r="B22" s="896" t="s">
        <v>1086</v>
      </c>
      <c r="C22" s="874">
        <f>+'13.mell_ÖNKfeladatok2014'!H76+'13.mell_ÖNKfeladatok2014'!H78</f>
        <v>0</v>
      </c>
      <c r="D22" s="874">
        <f>+'13.mell_ÖNKfeladatok2014'!I76+'13.mell_ÖNKfeladatok2014'!I78</f>
        <v>0</v>
      </c>
      <c r="E22" s="874">
        <f>+'13.mell_ÖNKfeladatok2014'!J76+'13.mell_ÖNKfeladatok2014'!J78</f>
        <v>11449</v>
      </c>
      <c r="F22" s="874">
        <f>+'13.mell_ÖNKfeladatok2014'!K76+'13.mell_ÖNKfeladatok2014'!K78</f>
        <v>0</v>
      </c>
      <c r="G22" s="874">
        <f>+'13.mell_ÖNKfeladatok2014'!M76+'13.mell_ÖNKfeladatok2014'!M78</f>
        <v>0</v>
      </c>
      <c r="H22" s="874">
        <f>+'13.mell_ÖNKfeladatok2014'!N76+'13.mell_ÖNKfeladatok2014'!N78</f>
        <v>0</v>
      </c>
      <c r="I22" s="874">
        <f>+'13.mell_ÖNKfeladatok2014'!O76+'13.mell_ÖNKfeladatok2014'!O78</f>
        <v>0</v>
      </c>
      <c r="J22" s="917">
        <f>SUM(C22:I22)</f>
        <v>11449</v>
      </c>
      <c r="K22" s="869">
        <f>+'13.mell_ÖNKfeladatok2014'!H176+'13.mell_ÖNKfeladatok2014'!H178</f>
        <v>109865</v>
      </c>
      <c r="L22" s="869">
        <f>+'13.mell_ÖNKfeladatok2014'!I176+'13.mell_ÖNKfeladatok2014'!I178</f>
        <v>25968</v>
      </c>
      <c r="M22" s="869">
        <f>+'13.mell_ÖNKfeladatok2014'!J176+'13.mell_ÖNKfeladatok2014'!J178</f>
        <v>94843</v>
      </c>
      <c r="N22" s="869">
        <f>+'13.mell_ÖNKfeladatok2014'!K176+'13.mell_ÖNKfeladatok2014'!K178</f>
        <v>0</v>
      </c>
      <c r="O22" s="869">
        <f>+'13.mell_ÖNKfeladatok2014'!L176+'13.mell_ÖNKfeladatok2014'!L178</f>
        <v>0</v>
      </c>
      <c r="P22" s="869">
        <f>+'13.mell_ÖNKfeladatok2014'!N176+'13.mell_ÖNKfeladatok2014'!N178</f>
        <v>24000</v>
      </c>
      <c r="Q22" s="869">
        <f>+'13.mell_ÖNKfeladatok2014'!O176+'13.mell_ÖNKfeladatok2014'!O178</f>
        <v>15000</v>
      </c>
      <c r="R22" s="869">
        <f>+'13.mell_ÖNKfeladatok2014'!P176+'13.mell_ÖNKfeladatok2014'!P178</f>
        <v>0</v>
      </c>
      <c r="S22" s="917">
        <f>SUM(K22:R22)</f>
        <v>269676</v>
      </c>
      <c r="T22" s="870">
        <f>S22-J22</f>
        <v>258227</v>
      </c>
      <c r="U22" s="866">
        <f>+ROUND('10.mell_támogatások2014'!C10/1000,0)</f>
        <v>135705</v>
      </c>
      <c r="V22" s="872">
        <f>+T22-U22</f>
        <v>122522</v>
      </c>
    </row>
    <row r="23" spans="1:22" ht="12">
      <c r="A23" s="925" t="s">
        <v>72</v>
      </c>
      <c r="B23" s="868" t="s">
        <v>1087</v>
      </c>
      <c r="C23" s="874">
        <f>+'13.mell_ÖNKfeladatok2014'!H77</f>
        <v>0</v>
      </c>
      <c r="D23" s="874">
        <f>+'13.mell_ÖNKfeladatok2014'!I77</f>
        <v>0</v>
      </c>
      <c r="E23" s="874">
        <f>+'13.mell_ÖNKfeladatok2014'!J77</f>
        <v>0</v>
      </c>
      <c r="F23" s="874">
        <f>+'13.mell_ÖNKfeladatok2014'!K77</f>
        <v>0</v>
      </c>
      <c r="G23" s="874">
        <f>+'13.mell_ÖNKfeladatok2014'!M77</f>
        <v>0</v>
      </c>
      <c r="H23" s="874">
        <f>+'13.mell_ÖNKfeladatok2014'!N77</f>
        <v>0</v>
      </c>
      <c r="I23" s="874">
        <f>+'13.mell_ÖNKfeladatok2014'!O77</f>
        <v>0</v>
      </c>
      <c r="J23" s="917">
        <f>SUM(C23:I23)</f>
        <v>0</v>
      </c>
      <c r="K23" s="869">
        <f>+'13.mell_ÖNKfeladatok2014'!H177</f>
        <v>0</v>
      </c>
      <c r="L23" s="869">
        <f>+'13.mell_ÖNKfeladatok2014'!I177</f>
        <v>0</v>
      </c>
      <c r="M23" s="869">
        <f>+'13.mell_ÖNKfeladatok2014'!J177</f>
        <v>0</v>
      </c>
      <c r="N23" s="869">
        <f>+'13.mell_ÖNKfeladatok2014'!K177</f>
        <v>0</v>
      </c>
      <c r="O23" s="869">
        <f>+'13.mell_ÖNKfeladatok2014'!L177</f>
        <v>0</v>
      </c>
      <c r="P23" s="869">
        <f>+'13.mell_ÖNKfeladatok2014'!N177</f>
        <v>0</v>
      </c>
      <c r="Q23" s="869">
        <f>+'13.mell_ÖNKfeladatok2014'!O177</f>
        <v>0</v>
      </c>
      <c r="R23" s="869">
        <f>+'13.mell_ÖNKfeladatok2014'!P177</f>
        <v>0</v>
      </c>
      <c r="S23" s="917">
        <f>SUM(K23:R23)</f>
        <v>0</v>
      </c>
      <c r="T23" s="870">
        <f>S23-J23</f>
        <v>0</v>
      </c>
      <c r="U23" s="871"/>
      <c r="V23" s="872">
        <f>+T23-U23</f>
        <v>0</v>
      </c>
    </row>
    <row r="24" spans="1:22" ht="12.75" thickBot="1">
      <c r="A24" s="925" t="s">
        <v>71</v>
      </c>
      <c r="B24" s="873" t="s">
        <v>1060</v>
      </c>
      <c r="C24" s="874">
        <f>+'13.mell_ÖNKfeladatok2014'!H79-C21-C22-C23</f>
        <v>0</v>
      </c>
      <c r="D24" s="874">
        <f>+'13.mell_ÖNKfeladatok2014'!I79-D21-D22-D23</f>
        <v>0</v>
      </c>
      <c r="E24" s="874">
        <f>+'13.mell_ÖNKfeladatok2014'!J79-E21-E22-E23</f>
        <v>0</v>
      </c>
      <c r="F24" s="874">
        <f>+'13.mell_ÖNKfeladatok2014'!K79-F21-F22-F23</f>
        <v>0</v>
      </c>
      <c r="G24" s="874">
        <f>+'13.mell_ÖNKfeladatok2014'!M79-G21-G22-G23</f>
        <v>0</v>
      </c>
      <c r="H24" s="874">
        <f>+'13.mell_ÖNKfeladatok2014'!M79-H21-H22-H23</f>
        <v>0</v>
      </c>
      <c r="I24" s="874">
        <f>+'13.mell_ÖNKfeladatok2014'!N79-I21-I22-I23</f>
        <v>0</v>
      </c>
      <c r="J24" s="917">
        <f>SUM(C24:I24)</f>
        <v>0</v>
      </c>
      <c r="K24" s="869">
        <f>+'13.mell_ÖNKfeladatok2014'!H179-K21-K22-K23</f>
        <v>0</v>
      </c>
      <c r="L24" s="869">
        <f>+'13.mell_ÖNKfeladatok2014'!I179-L21-L22-L23</f>
        <v>0</v>
      </c>
      <c r="M24" s="869">
        <f>+'13.mell_ÖNKfeladatok2014'!J179-M21-M22-M23</f>
        <v>0</v>
      </c>
      <c r="N24" s="869">
        <f>+'13.mell_ÖNKfeladatok2014'!K179-N21-N22-N23</f>
        <v>0</v>
      </c>
      <c r="O24" s="869">
        <f>+'13.mell_ÖNKfeladatok2014'!L179-O21-O22-O23</f>
        <v>0</v>
      </c>
      <c r="P24" s="869">
        <f>+'13.mell_ÖNKfeladatok2014'!N179-P21-P22-P23</f>
        <v>0</v>
      </c>
      <c r="Q24" s="869">
        <f>+'13.mell_ÖNKfeladatok2014'!O179-Q21-Q22-Q23</f>
        <v>0</v>
      </c>
      <c r="R24" s="869">
        <f>+'13.mell_ÖNKfeladatok2014'!P179-R21-R22-R23</f>
        <v>0</v>
      </c>
      <c r="S24" s="917">
        <f>SUM(K24:R24)</f>
        <v>0</v>
      </c>
      <c r="T24" s="870">
        <f>S24-J24</f>
        <v>0</v>
      </c>
      <c r="U24" s="871"/>
      <c r="V24" s="872">
        <f>+T24-U24</f>
        <v>0</v>
      </c>
    </row>
    <row r="25" spans="1:22" s="852" customFormat="1" ht="12.75" thickBot="1">
      <c r="A25" s="875" t="s">
        <v>775</v>
      </c>
      <c r="B25" s="876" t="s">
        <v>502</v>
      </c>
      <c r="C25" s="877">
        <f>SUM(C21:C24)</f>
        <v>0</v>
      </c>
      <c r="D25" s="878">
        <f aca="true" t="shared" si="8" ref="D25:V25">SUM(D21:D24)</f>
        <v>0</v>
      </c>
      <c r="E25" s="878">
        <f t="shared" si="8"/>
        <v>11449</v>
      </c>
      <c r="F25" s="878">
        <f t="shared" si="8"/>
        <v>0</v>
      </c>
      <c r="G25" s="878">
        <f t="shared" si="8"/>
        <v>0</v>
      </c>
      <c r="H25" s="878">
        <f t="shared" si="8"/>
        <v>0</v>
      </c>
      <c r="I25" s="879">
        <f t="shared" si="8"/>
        <v>0</v>
      </c>
      <c r="J25" s="880">
        <f t="shared" si="8"/>
        <v>11449</v>
      </c>
      <c r="K25" s="877">
        <f t="shared" si="8"/>
        <v>140480</v>
      </c>
      <c r="L25" s="877">
        <f t="shared" si="8"/>
        <v>33476</v>
      </c>
      <c r="M25" s="877">
        <f t="shared" si="8"/>
        <v>99157</v>
      </c>
      <c r="N25" s="877">
        <f t="shared" si="8"/>
        <v>0</v>
      </c>
      <c r="O25" s="877">
        <f t="shared" si="8"/>
        <v>0</v>
      </c>
      <c r="P25" s="877">
        <f t="shared" si="8"/>
        <v>24000</v>
      </c>
      <c r="Q25" s="877">
        <f t="shared" si="8"/>
        <v>15000</v>
      </c>
      <c r="R25" s="877">
        <f t="shared" si="8"/>
        <v>0</v>
      </c>
      <c r="S25" s="880">
        <f t="shared" si="8"/>
        <v>312113</v>
      </c>
      <c r="T25" s="877">
        <f t="shared" si="8"/>
        <v>300664</v>
      </c>
      <c r="U25" s="881">
        <f t="shared" si="8"/>
        <v>135705</v>
      </c>
      <c r="V25" s="880">
        <f t="shared" si="8"/>
        <v>164959</v>
      </c>
    </row>
    <row r="26" spans="1:22" ht="12">
      <c r="A26" s="923" t="s">
        <v>68</v>
      </c>
      <c r="B26" s="897" t="s">
        <v>488</v>
      </c>
      <c r="C26" s="864">
        <f>+'13.mell_ÖNKfeladatok2014'!H81</f>
        <v>0</v>
      </c>
      <c r="D26" s="864">
        <f>+'13.mell_ÖNKfeladatok2014'!I81</f>
        <v>0</v>
      </c>
      <c r="E26" s="864">
        <f>+'13.mell_ÖNKfeladatok2014'!J81</f>
        <v>24254</v>
      </c>
      <c r="F26" s="864">
        <f>+'13.mell_ÖNKfeladatok2014'!K81</f>
        <v>0</v>
      </c>
      <c r="G26" s="864">
        <f>+'13.mell_ÖNKfeladatok2014'!M81</f>
        <v>0</v>
      </c>
      <c r="H26" s="864">
        <f>+'13.mell_ÖNKfeladatok2014'!N81</f>
        <v>0</v>
      </c>
      <c r="I26" s="864">
        <f>+'13.mell_ÖNKfeladatok2014'!O81</f>
        <v>0</v>
      </c>
      <c r="J26" s="917">
        <f>SUM(C26:I26)</f>
        <v>24254</v>
      </c>
      <c r="K26" s="869">
        <f>+'13.mell_ÖNKfeladatok2014'!H181</f>
        <v>0</v>
      </c>
      <c r="L26" s="869">
        <f>+'13.mell_ÖNKfeladatok2014'!I181</f>
        <v>0</v>
      </c>
      <c r="M26" s="869">
        <f>+'13.mell_ÖNKfeladatok2014'!J181</f>
        <v>24254</v>
      </c>
      <c r="N26" s="869">
        <f>+'13.mell_ÖNKfeladatok2014'!K181</f>
        <v>0</v>
      </c>
      <c r="O26" s="869">
        <f>+'13.mell_ÖNKfeladatok2014'!L181</f>
        <v>0</v>
      </c>
      <c r="P26" s="869">
        <f>+'13.mell_ÖNKfeladatok2014'!N181</f>
        <v>0</v>
      </c>
      <c r="Q26" s="869">
        <f>+'13.mell_ÖNKfeladatok2014'!O181</f>
        <v>0</v>
      </c>
      <c r="R26" s="869">
        <f>+'13.mell_ÖNKfeladatok2014'!P181</f>
        <v>0</v>
      </c>
      <c r="S26" s="917">
        <f>SUM(K26:R26)</f>
        <v>24254</v>
      </c>
      <c r="T26" s="870">
        <f>S26-J26</f>
        <v>0</v>
      </c>
      <c r="U26" s="871"/>
      <c r="V26" s="872">
        <f>+T26-U26</f>
        <v>0</v>
      </c>
    </row>
    <row r="27" spans="1:22" ht="12.75" thickBot="1">
      <c r="A27" s="925" t="s">
        <v>67</v>
      </c>
      <c r="B27" s="873" t="s">
        <v>1061</v>
      </c>
      <c r="C27" s="874">
        <f>+'13.mell_ÖNKfeladatok2014'!H82-C26</f>
        <v>0</v>
      </c>
      <c r="D27" s="874">
        <f>+'13.mell_ÖNKfeladatok2014'!I82-D26</f>
        <v>0</v>
      </c>
      <c r="E27" s="874">
        <f>+'13.mell_ÖNKfeladatok2014'!J82-E26</f>
        <v>0</v>
      </c>
      <c r="F27" s="874">
        <f>+'13.mell_ÖNKfeladatok2014'!K82-F26</f>
        <v>0</v>
      </c>
      <c r="G27" s="874">
        <f>+'13.mell_ÖNKfeladatok2014'!M82-G26</f>
        <v>0</v>
      </c>
      <c r="H27" s="874">
        <f>+'13.mell_ÖNKfeladatok2014'!N82-H26</f>
        <v>0</v>
      </c>
      <c r="I27" s="874">
        <f>+'13.mell_ÖNKfeladatok2014'!O82-I26</f>
        <v>0</v>
      </c>
      <c r="J27" s="918">
        <f>SUM(C27:I27)</f>
        <v>0</v>
      </c>
      <c r="K27" s="869">
        <f>+'13.mell_ÖNKfeladatok2014'!H182-K26</f>
        <v>0</v>
      </c>
      <c r="L27" s="869">
        <f>+'13.mell_ÖNKfeladatok2014'!I182-L26</f>
        <v>0</v>
      </c>
      <c r="M27" s="869">
        <f>+'13.mell_ÖNKfeladatok2014'!J182-M26</f>
        <v>0</v>
      </c>
      <c r="N27" s="869">
        <f>+'13.mell_ÖNKfeladatok2014'!K182-N26</f>
        <v>0</v>
      </c>
      <c r="O27" s="869">
        <f>+'13.mell_ÖNKfeladatok2014'!L182-O26</f>
        <v>0</v>
      </c>
      <c r="P27" s="869">
        <f>+'13.mell_ÖNKfeladatok2014'!N182-P26</f>
        <v>0</v>
      </c>
      <c r="Q27" s="869">
        <f>+'13.mell_ÖNKfeladatok2014'!O182-Q26</f>
        <v>0</v>
      </c>
      <c r="R27" s="869">
        <f>+'13.mell_ÖNKfeladatok2014'!P182-R26</f>
        <v>0</v>
      </c>
      <c r="S27" s="917">
        <f>SUM(K27:R27)</f>
        <v>0</v>
      </c>
      <c r="T27" s="870">
        <f>S27-J27</f>
        <v>0</v>
      </c>
      <c r="U27" s="871"/>
      <c r="V27" s="872">
        <f>+T27-U27</f>
        <v>0</v>
      </c>
    </row>
    <row r="28" spans="1:22" s="852" customFormat="1" ht="12.75" thickBot="1">
      <c r="A28" s="875" t="s">
        <v>837</v>
      </c>
      <c r="B28" s="876" t="s">
        <v>503</v>
      </c>
      <c r="C28" s="877">
        <f>SUM(C26:C27)</f>
        <v>0</v>
      </c>
      <c r="D28" s="878">
        <f aca="true" t="shared" si="9" ref="D28:V28">SUM(D26:D27)</f>
        <v>0</v>
      </c>
      <c r="E28" s="878">
        <f t="shared" si="9"/>
        <v>24254</v>
      </c>
      <c r="F28" s="878">
        <f t="shared" si="9"/>
        <v>0</v>
      </c>
      <c r="G28" s="878">
        <f t="shared" si="9"/>
        <v>0</v>
      </c>
      <c r="H28" s="878">
        <f t="shared" si="9"/>
        <v>0</v>
      </c>
      <c r="I28" s="881">
        <f t="shared" si="9"/>
        <v>0</v>
      </c>
      <c r="J28" s="880">
        <f t="shared" si="9"/>
        <v>24254</v>
      </c>
      <c r="K28" s="877">
        <f t="shared" si="9"/>
        <v>0</v>
      </c>
      <c r="L28" s="877">
        <f t="shared" si="9"/>
        <v>0</v>
      </c>
      <c r="M28" s="877">
        <f t="shared" si="9"/>
        <v>24254</v>
      </c>
      <c r="N28" s="877">
        <f t="shared" si="9"/>
        <v>0</v>
      </c>
      <c r="O28" s="877">
        <f t="shared" si="9"/>
        <v>0</v>
      </c>
      <c r="P28" s="877">
        <f t="shared" si="9"/>
        <v>0</v>
      </c>
      <c r="Q28" s="877">
        <f t="shared" si="9"/>
        <v>0</v>
      </c>
      <c r="R28" s="877">
        <f t="shared" si="9"/>
        <v>0</v>
      </c>
      <c r="S28" s="880">
        <f t="shared" si="9"/>
        <v>24254</v>
      </c>
      <c r="T28" s="877">
        <f t="shared" si="9"/>
        <v>0</v>
      </c>
      <c r="U28" s="881">
        <f t="shared" si="9"/>
        <v>0</v>
      </c>
      <c r="V28" s="880">
        <f t="shared" si="9"/>
        <v>0</v>
      </c>
    </row>
    <row r="29" spans="1:22" ht="12.75" thickBot="1">
      <c r="A29" s="926" t="s">
        <v>66</v>
      </c>
      <c r="B29" s="882" t="s">
        <v>504</v>
      </c>
      <c r="C29" s="883">
        <f>+'13.mell_ÖNKfeladatok2014'!H83</f>
        <v>0</v>
      </c>
      <c r="D29" s="883">
        <f>+'13.mell_ÖNKfeladatok2014'!I83</f>
        <v>0</v>
      </c>
      <c r="E29" s="883">
        <f>+'13.mell_ÖNKfeladatok2014'!J83</f>
        <v>0</v>
      </c>
      <c r="F29" s="883">
        <f>+'13.mell_ÖNKfeladatok2014'!K83</f>
        <v>0</v>
      </c>
      <c r="G29" s="883">
        <f>+'13.mell_ÖNKfeladatok2014'!M83</f>
        <v>0</v>
      </c>
      <c r="H29" s="883">
        <f>+'13.mell_ÖNKfeladatok2014'!N83</f>
        <v>0</v>
      </c>
      <c r="I29" s="883">
        <f>+'13.mell_ÖNKfeladatok2014'!O83</f>
        <v>0</v>
      </c>
      <c r="J29" s="919">
        <f>SUM(C29:I29)</f>
        <v>0</v>
      </c>
      <c r="K29" s="869">
        <f>+'13.mell_ÖNKfeladatok2014'!H183</f>
        <v>0</v>
      </c>
      <c r="L29" s="869">
        <f>+'13.mell_ÖNKfeladatok2014'!I183</f>
        <v>0</v>
      </c>
      <c r="M29" s="869">
        <f>+'13.mell_ÖNKfeladatok2014'!J183</f>
        <v>0</v>
      </c>
      <c r="N29" s="869">
        <f>+'13.mell_ÖNKfeladatok2014'!K183</f>
        <v>0</v>
      </c>
      <c r="O29" s="869">
        <f>+'13.mell_ÖNKfeladatok2014'!L183</f>
        <v>0</v>
      </c>
      <c r="P29" s="869">
        <f>+'13.mell_ÖNKfeladatok2014'!N183</f>
        <v>0</v>
      </c>
      <c r="Q29" s="869">
        <f>+'13.mell_ÖNKfeladatok2014'!O183</f>
        <v>0</v>
      </c>
      <c r="R29" s="869">
        <f>+'13.mell_ÖNKfeladatok2014'!P183</f>
        <v>0</v>
      </c>
      <c r="S29" s="917">
        <f>SUM(K29:R29)</f>
        <v>0</v>
      </c>
      <c r="T29" s="870">
        <f>S29-J29</f>
        <v>0</v>
      </c>
      <c r="U29" s="871"/>
      <c r="V29" s="872">
        <f>+T29-U29</f>
        <v>0</v>
      </c>
    </row>
    <row r="30" spans="1:22" s="852" customFormat="1" ht="12.75" thickBot="1">
      <c r="A30" s="875" t="s">
        <v>1043</v>
      </c>
      <c r="B30" s="876" t="s">
        <v>504</v>
      </c>
      <c r="C30" s="877">
        <f>SUM(C29)</f>
        <v>0</v>
      </c>
      <c r="D30" s="878">
        <f aca="true" t="shared" si="10" ref="D30:V30">SUM(D29)</f>
        <v>0</v>
      </c>
      <c r="E30" s="878">
        <f t="shared" si="10"/>
        <v>0</v>
      </c>
      <c r="F30" s="878">
        <f t="shared" si="10"/>
        <v>0</v>
      </c>
      <c r="G30" s="878">
        <f t="shared" si="10"/>
        <v>0</v>
      </c>
      <c r="H30" s="878">
        <f t="shared" si="10"/>
        <v>0</v>
      </c>
      <c r="I30" s="881">
        <f t="shared" si="10"/>
        <v>0</v>
      </c>
      <c r="J30" s="880">
        <f t="shared" si="10"/>
        <v>0</v>
      </c>
      <c r="K30" s="877">
        <f t="shared" si="10"/>
        <v>0</v>
      </c>
      <c r="L30" s="877">
        <f t="shared" si="10"/>
        <v>0</v>
      </c>
      <c r="M30" s="877">
        <f t="shared" si="10"/>
        <v>0</v>
      </c>
      <c r="N30" s="877">
        <f t="shared" si="10"/>
        <v>0</v>
      </c>
      <c r="O30" s="877">
        <f t="shared" si="10"/>
        <v>0</v>
      </c>
      <c r="P30" s="877">
        <f t="shared" si="10"/>
        <v>0</v>
      </c>
      <c r="Q30" s="877">
        <f t="shared" si="10"/>
        <v>0</v>
      </c>
      <c r="R30" s="877">
        <f t="shared" si="10"/>
        <v>0</v>
      </c>
      <c r="S30" s="880">
        <f t="shared" si="10"/>
        <v>0</v>
      </c>
      <c r="T30" s="877">
        <f t="shared" si="10"/>
        <v>0</v>
      </c>
      <c r="U30" s="881">
        <f t="shared" si="10"/>
        <v>0</v>
      </c>
      <c r="V30" s="880">
        <f t="shared" si="10"/>
        <v>0</v>
      </c>
    </row>
    <row r="31" spans="1:22" s="852" customFormat="1" ht="12.75" thickBot="1">
      <c r="A31" s="884" t="s">
        <v>41</v>
      </c>
      <c r="B31" s="885" t="s">
        <v>505</v>
      </c>
      <c r="C31" s="886">
        <f>+C25+C28+C30</f>
        <v>0</v>
      </c>
      <c r="D31" s="887">
        <f aca="true" t="shared" si="11" ref="D31:V31">+D25+D28+D30</f>
        <v>0</v>
      </c>
      <c r="E31" s="887">
        <f t="shared" si="11"/>
        <v>35703</v>
      </c>
      <c r="F31" s="887">
        <f t="shared" si="11"/>
        <v>0</v>
      </c>
      <c r="G31" s="887">
        <f t="shared" si="11"/>
        <v>0</v>
      </c>
      <c r="H31" s="887">
        <f t="shared" si="11"/>
        <v>0</v>
      </c>
      <c r="I31" s="888">
        <f t="shared" si="11"/>
        <v>0</v>
      </c>
      <c r="J31" s="889">
        <f t="shared" si="11"/>
        <v>35703</v>
      </c>
      <c r="K31" s="886">
        <f t="shared" si="11"/>
        <v>140480</v>
      </c>
      <c r="L31" s="886">
        <f t="shared" si="11"/>
        <v>33476</v>
      </c>
      <c r="M31" s="886">
        <f t="shared" si="11"/>
        <v>123411</v>
      </c>
      <c r="N31" s="886">
        <f t="shared" si="11"/>
        <v>0</v>
      </c>
      <c r="O31" s="886">
        <f t="shared" si="11"/>
        <v>0</v>
      </c>
      <c r="P31" s="886">
        <f t="shared" si="11"/>
        <v>24000</v>
      </c>
      <c r="Q31" s="886">
        <f t="shared" si="11"/>
        <v>15000</v>
      </c>
      <c r="R31" s="886">
        <f t="shared" si="11"/>
        <v>0</v>
      </c>
      <c r="S31" s="889">
        <f t="shared" si="11"/>
        <v>336367</v>
      </c>
      <c r="T31" s="886">
        <f t="shared" si="11"/>
        <v>300664</v>
      </c>
      <c r="U31" s="888">
        <f t="shared" si="11"/>
        <v>135705</v>
      </c>
      <c r="V31" s="889">
        <f t="shared" si="11"/>
        <v>164959</v>
      </c>
    </row>
    <row r="32" spans="1:22" s="231" customFormat="1" ht="12.75" thickBot="1">
      <c r="A32" s="898"/>
      <c r="B32" s="899"/>
      <c r="C32" s="900"/>
      <c r="D32" s="901"/>
      <c r="E32" s="901"/>
      <c r="F32" s="901"/>
      <c r="G32" s="901"/>
      <c r="H32" s="901"/>
      <c r="I32" s="902"/>
      <c r="J32" s="903"/>
      <c r="K32" s="900"/>
      <c r="L32" s="900"/>
      <c r="M32" s="900"/>
      <c r="N32" s="900"/>
      <c r="O32" s="900"/>
      <c r="P32" s="900"/>
      <c r="Q32" s="900"/>
      <c r="R32" s="900"/>
      <c r="S32" s="903"/>
      <c r="T32" s="900"/>
      <c r="U32" s="902"/>
      <c r="V32" s="903"/>
    </row>
    <row r="33" spans="1:22" s="852" customFormat="1" ht="12.75" thickBot="1">
      <c r="A33" s="473" t="s">
        <v>1044</v>
      </c>
      <c r="B33" s="751" t="s">
        <v>489</v>
      </c>
      <c r="C33" s="877">
        <f>+'13.mell_ÖNKfeladatok2014'!H87</f>
        <v>0</v>
      </c>
      <c r="D33" s="877">
        <f>+'13.mell_ÖNKfeladatok2014'!I87</f>
        <v>0</v>
      </c>
      <c r="E33" s="877">
        <f>+'13.mell_ÖNKfeladatok2014'!J87</f>
        <v>29549</v>
      </c>
      <c r="F33" s="877">
        <f>+'13.mell_ÖNKfeladatok2014'!K87</f>
        <v>0</v>
      </c>
      <c r="G33" s="877">
        <f>+'13.mell_ÖNKfeladatok2014'!M87</f>
        <v>0</v>
      </c>
      <c r="H33" s="877">
        <f>+'13.mell_ÖNKfeladatok2014'!N87</f>
        <v>0</v>
      </c>
      <c r="I33" s="877">
        <f>+'13.mell_ÖNKfeladatok2014'!O87</f>
        <v>0</v>
      </c>
      <c r="J33" s="880">
        <f>SUM(C33:I33)</f>
        <v>29549</v>
      </c>
      <c r="K33" s="877">
        <f>+'13.mell_ÖNKfeladatok2014'!H187</f>
        <v>170347</v>
      </c>
      <c r="L33" s="877">
        <f>+'13.mell_ÖNKfeladatok2014'!I187</f>
        <v>44819</v>
      </c>
      <c r="M33" s="877">
        <f>+'13.mell_ÖNKfeladatok2014'!J187</f>
        <v>151262</v>
      </c>
      <c r="N33" s="877">
        <f>+'13.mell_ÖNKfeladatok2014'!K187</f>
        <v>0</v>
      </c>
      <c r="O33" s="877">
        <f>+'13.mell_ÖNKfeladatok2014'!L187</f>
        <v>0</v>
      </c>
      <c r="P33" s="877">
        <f>+'13.mell_ÖNKfeladatok2014'!N187</f>
        <v>0</v>
      </c>
      <c r="Q33" s="877">
        <f>+'13.mell_ÖNKfeladatok2014'!O187</f>
        <v>0</v>
      </c>
      <c r="R33" s="877">
        <f>+'13.mell_ÖNKfeladatok2014'!P187</f>
        <v>0</v>
      </c>
      <c r="S33" s="880">
        <f>SUM(K33:R33)</f>
        <v>366428</v>
      </c>
      <c r="T33" s="877">
        <f>S33-J33</f>
        <v>336879</v>
      </c>
      <c r="U33" s="881">
        <f>+ROUND('10.mell_támogatások2014'!C24/1000,0)+ROUND('10.mell_támogatások2014'!C38/1000,0)+ROUND('10.mell_támogatások2014'!C47/1000,0)</f>
        <v>247438</v>
      </c>
      <c r="V33" s="880">
        <f>+T33-U33</f>
        <v>89441</v>
      </c>
    </row>
    <row r="34" spans="1:22" s="852" customFormat="1" ht="12.75" thickBot="1">
      <c r="A34" s="775" t="s">
        <v>1045</v>
      </c>
      <c r="B34" s="776" t="s">
        <v>490</v>
      </c>
      <c r="C34" s="877">
        <f>+'13.mell_ÖNKfeladatok2014'!H88</f>
        <v>0</v>
      </c>
      <c r="D34" s="877">
        <f>+'13.mell_ÖNKfeladatok2014'!I88</f>
        <v>0</v>
      </c>
      <c r="E34" s="877">
        <f>+'13.mell_ÖNKfeladatok2014'!J88</f>
        <v>0</v>
      </c>
      <c r="F34" s="877">
        <f>+'13.mell_ÖNKfeladatok2014'!K88</f>
        <v>0</v>
      </c>
      <c r="G34" s="877">
        <f>+'13.mell_ÖNKfeladatok2014'!M88</f>
        <v>0</v>
      </c>
      <c r="H34" s="877">
        <f>+'13.mell_ÖNKfeladatok2014'!N88</f>
        <v>0</v>
      </c>
      <c r="I34" s="877">
        <f>+'13.mell_ÖNKfeladatok2014'!O88</f>
        <v>0</v>
      </c>
      <c r="J34" s="880">
        <f>SUM(C34:I34)</f>
        <v>0</v>
      </c>
      <c r="K34" s="877">
        <f>+'13.mell_ÖNKfeladatok2014'!H188</f>
        <v>0</v>
      </c>
      <c r="L34" s="877">
        <f>+'13.mell_ÖNKfeladatok2014'!I188</f>
        <v>0</v>
      </c>
      <c r="M34" s="877">
        <f>+'13.mell_ÖNKfeladatok2014'!J188</f>
        <v>0</v>
      </c>
      <c r="N34" s="877">
        <f>+'13.mell_ÖNKfeladatok2014'!K188</f>
        <v>0</v>
      </c>
      <c r="O34" s="877">
        <f>+'13.mell_ÖNKfeladatok2014'!L188</f>
        <v>0</v>
      </c>
      <c r="P34" s="877">
        <f>+'13.mell_ÖNKfeladatok2014'!N188</f>
        <v>0</v>
      </c>
      <c r="Q34" s="877">
        <f>+'13.mell_ÖNKfeladatok2014'!O188</f>
        <v>0</v>
      </c>
      <c r="R34" s="877">
        <f>+'13.mell_ÖNKfeladatok2014'!P188</f>
        <v>0</v>
      </c>
      <c r="S34" s="880">
        <f>SUM(K34:R34)</f>
        <v>0</v>
      </c>
      <c r="T34" s="877">
        <f>S34-J34</f>
        <v>0</v>
      </c>
      <c r="U34" s="881"/>
      <c r="V34" s="880">
        <f>+T34-U34</f>
        <v>0</v>
      </c>
    </row>
    <row r="35" spans="1:22" s="852" customFormat="1" ht="24.75" thickBot="1">
      <c r="A35" s="775" t="s">
        <v>1046</v>
      </c>
      <c r="B35" s="776" t="s">
        <v>1071</v>
      </c>
      <c r="C35" s="877">
        <f>+'13.mell_ÖNKfeladatok2014'!H89</f>
        <v>0</v>
      </c>
      <c r="D35" s="877">
        <f>+'13.mell_ÖNKfeladatok2014'!I89</f>
        <v>0</v>
      </c>
      <c r="E35" s="877">
        <f>+'13.mell_ÖNKfeladatok2014'!J89</f>
        <v>0</v>
      </c>
      <c r="F35" s="877">
        <f>+'13.mell_ÖNKfeladatok2014'!K89</f>
        <v>0</v>
      </c>
      <c r="G35" s="877">
        <f>+'13.mell_ÖNKfeladatok2014'!M89</f>
        <v>0</v>
      </c>
      <c r="H35" s="877">
        <f>+'13.mell_ÖNKfeladatok2014'!N89</f>
        <v>0</v>
      </c>
      <c r="I35" s="877">
        <f>+'13.mell_ÖNKfeladatok2014'!O89</f>
        <v>0</v>
      </c>
      <c r="J35" s="880">
        <f>SUM(C35:I35)</f>
        <v>0</v>
      </c>
      <c r="K35" s="877">
        <f>+'13.mell_ÖNKfeladatok2014'!H189</f>
        <v>0</v>
      </c>
      <c r="L35" s="877">
        <f>+'13.mell_ÖNKfeladatok2014'!I189</f>
        <v>0</v>
      </c>
      <c r="M35" s="877">
        <f>+'13.mell_ÖNKfeladatok2014'!J189</f>
        <v>0</v>
      </c>
      <c r="N35" s="877">
        <f>+'13.mell_ÖNKfeladatok2014'!K189</f>
        <v>0</v>
      </c>
      <c r="O35" s="877">
        <f>+'13.mell_ÖNKfeladatok2014'!L189</f>
        <v>0</v>
      </c>
      <c r="P35" s="877">
        <f>+'13.mell_ÖNKfeladatok2014'!N189</f>
        <v>0</v>
      </c>
      <c r="Q35" s="877">
        <f>+'13.mell_ÖNKfeladatok2014'!O189</f>
        <v>0</v>
      </c>
      <c r="R35" s="877">
        <f>+'13.mell_ÖNKfeladatok2014'!P189</f>
        <v>0</v>
      </c>
      <c r="S35" s="880">
        <f>SUM(K35:R35)</f>
        <v>0</v>
      </c>
      <c r="T35" s="877">
        <f>S35-J35</f>
        <v>0</v>
      </c>
      <c r="U35" s="881"/>
      <c r="V35" s="880">
        <f>+T35-U35</f>
        <v>0</v>
      </c>
    </row>
    <row r="36" spans="1:22" s="852" customFormat="1" ht="12.75" thickBot="1">
      <c r="A36" s="756" t="s">
        <v>40</v>
      </c>
      <c r="B36" s="782" t="s">
        <v>491</v>
      </c>
      <c r="C36" s="886">
        <f aca="true" t="shared" si="12" ref="C36:V36">SUM(C33:C35)</f>
        <v>0</v>
      </c>
      <c r="D36" s="887">
        <f t="shared" si="12"/>
        <v>0</v>
      </c>
      <c r="E36" s="887">
        <f t="shared" si="12"/>
        <v>29549</v>
      </c>
      <c r="F36" s="887">
        <f t="shared" si="12"/>
        <v>0</v>
      </c>
      <c r="G36" s="887">
        <f t="shared" si="12"/>
        <v>0</v>
      </c>
      <c r="H36" s="887">
        <f t="shared" si="12"/>
        <v>0</v>
      </c>
      <c r="I36" s="888">
        <f t="shared" si="12"/>
        <v>0</v>
      </c>
      <c r="J36" s="889">
        <f t="shared" si="12"/>
        <v>29549</v>
      </c>
      <c r="K36" s="886">
        <f t="shared" si="12"/>
        <v>170347</v>
      </c>
      <c r="L36" s="886">
        <f t="shared" si="12"/>
        <v>44819</v>
      </c>
      <c r="M36" s="886">
        <f t="shared" si="12"/>
        <v>151262</v>
      </c>
      <c r="N36" s="886">
        <f t="shared" si="12"/>
        <v>0</v>
      </c>
      <c r="O36" s="886">
        <f t="shared" si="12"/>
        <v>0</v>
      </c>
      <c r="P36" s="886">
        <f t="shared" si="12"/>
        <v>0</v>
      </c>
      <c r="Q36" s="886">
        <f t="shared" si="12"/>
        <v>0</v>
      </c>
      <c r="R36" s="886">
        <f t="shared" si="12"/>
        <v>0</v>
      </c>
      <c r="S36" s="889">
        <f t="shared" si="12"/>
        <v>366428</v>
      </c>
      <c r="T36" s="886">
        <f t="shared" si="12"/>
        <v>336879</v>
      </c>
      <c r="U36" s="888">
        <f t="shared" si="12"/>
        <v>247438</v>
      </c>
      <c r="V36" s="889">
        <f t="shared" si="12"/>
        <v>89441</v>
      </c>
    </row>
    <row r="37" spans="1:22" s="231" customFormat="1" ht="12.75" thickBot="1">
      <c r="A37" s="473"/>
      <c r="B37" s="751"/>
      <c r="C37" s="900"/>
      <c r="D37" s="901"/>
      <c r="E37" s="901"/>
      <c r="F37" s="901"/>
      <c r="G37" s="901"/>
      <c r="H37" s="901"/>
      <c r="I37" s="902"/>
      <c r="J37" s="903"/>
      <c r="K37" s="900"/>
      <c r="L37" s="900"/>
      <c r="M37" s="900"/>
      <c r="N37" s="900"/>
      <c r="O37" s="900"/>
      <c r="P37" s="900"/>
      <c r="Q37" s="900"/>
      <c r="R37" s="900"/>
      <c r="S37" s="903"/>
      <c r="T37" s="900"/>
      <c r="U37" s="902"/>
      <c r="V37" s="903"/>
    </row>
    <row r="38" spans="1:22" s="852" customFormat="1" ht="12.75" thickBot="1">
      <c r="A38" s="473" t="s">
        <v>838</v>
      </c>
      <c r="B38" s="751" t="s">
        <v>492</v>
      </c>
      <c r="C38" s="877">
        <f>+'13.mell_ÖNKfeladatok2014'!H92</f>
        <v>250</v>
      </c>
      <c r="D38" s="877">
        <f>+'13.mell_ÖNKfeladatok2014'!I92</f>
        <v>0</v>
      </c>
      <c r="E38" s="877">
        <f>+'13.mell_ÖNKfeladatok2014'!J92</f>
        <v>3450</v>
      </c>
      <c r="F38" s="877">
        <f>+'13.mell_ÖNKfeladatok2014'!K92</f>
        <v>0</v>
      </c>
      <c r="G38" s="877">
        <f>+'13.mell_ÖNKfeladatok2014'!M92</f>
        <v>0</v>
      </c>
      <c r="H38" s="877">
        <f>+'13.mell_ÖNKfeladatok2014'!N92</f>
        <v>0</v>
      </c>
      <c r="I38" s="877">
        <f>+'13.mell_ÖNKfeladatok2014'!O92</f>
        <v>0</v>
      </c>
      <c r="J38" s="880">
        <f>SUM(C38:I38)</f>
        <v>3700</v>
      </c>
      <c r="K38" s="877">
        <f>+'13.mell_ÖNKfeladatok2014'!H192</f>
        <v>21989</v>
      </c>
      <c r="L38" s="877">
        <f>+'13.mell_ÖNKfeladatok2014'!I192</f>
        <v>5823</v>
      </c>
      <c r="M38" s="877">
        <f>+'13.mell_ÖNKfeladatok2014'!J192</f>
        <v>35930</v>
      </c>
      <c r="N38" s="877">
        <f>+'13.mell_ÖNKfeladatok2014'!K192</f>
        <v>0</v>
      </c>
      <c r="O38" s="877">
        <f>+'13.mell_ÖNKfeladatok2014'!L192</f>
        <v>0</v>
      </c>
      <c r="P38" s="877">
        <f>+'13.mell_ÖNKfeladatok2014'!N192</f>
        <v>0</v>
      </c>
      <c r="Q38" s="877">
        <f>+'13.mell_ÖNKfeladatok2014'!O192</f>
        <v>0</v>
      </c>
      <c r="R38" s="877">
        <f>+'13.mell_ÖNKfeladatok2014'!P192</f>
        <v>0</v>
      </c>
      <c r="S38" s="880">
        <f>SUM(K38:R38)</f>
        <v>63742</v>
      </c>
      <c r="T38" s="877">
        <f>S38-J38</f>
        <v>60042</v>
      </c>
      <c r="U38" s="881">
        <f>+ROUND('10.mell_támogatások2014'!C51/1000,0)+ROUND('10.mell_támogatások2014'!C87/1000,0)+9950-9950+6329-6329+250</f>
        <v>16527</v>
      </c>
      <c r="V38" s="880">
        <f>+T38-U38</f>
        <v>43515</v>
      </c>
    </row>
    <row r="39" spans="1:22" s="852" customFormat="1" ht="12.75" thickBot="1">
      <c r="A39" s="775" t="s">
        <v>1049</v>
      </c>
      <c r="B39" s="776" t="s">
        <v>1050</v>
      </c>
      <c r="C39" s="877">
        <f>+'13.mell_ÖNKfeladatok2014'!H93</f>
        <v>0</v>
      </c>
      <c r="D39" s="877">
        <f>+'13.mell_ÖNKfeladatok2014'!I93</f>
        <v>0</v>
      </c>
      <c r="E39" s="877">
        <f>+'13.mell_ÖNKfeladatok2014'!J93</f>
        <v>0</v>
      </c>
      <c r="F39" s="877">
        <f>+'13.mell_ÖNKfeladatok2014'!K93</f>
        <v>0</v>
      </c>
      <c r="G39" s="877">
        <f>+'13.mell_ÖNKfeladatok2014'!M93</f>
        <v>0</v>
      </c>
      <c r="H39" s="877">
        <f>+'13.mell_ÖNKfeladatok2014'!N93</f>
        <v>0</v>
      </c>
      <c r="I39" s="877">
        <f>+'13.mell_ÖNKfeladatok2014'!O93</f>
        <v>0</v>
      </c>
      <c r="J39" s="880">
        <f>SUM(C39:I39)</f>
        <v>0</v>
      </c>
      <c r="K39" s="877">
        <f>+'13.mell_ÖNKfeladatok2014'!H193</f>
        <v>0</v>
      </c>
      <c r="L39" s="877">
        <f>+'13.mell_ÖNKfeladatok2014'!I193</f>
        <v>0</v>
      </c>
      <c r="M39" s="877">
        <f>+'13.mell_ÖNKfeladatok2014'!J193</f>
        <v>0</v>
      </c>
      <c r="N39" s="877">
        <f>+'13.mell_ÖNKfeladatok2014'!K193</f>
        <v>0</v>
      </c>
      <c r="O39" s="877">
        <f>+'13.mell_ÖNKfeladatok2014'!L193</f>
        <v>0</v>
      </c>
      <c r="P39" s="877">
        <f>+'13.mell_ÖNKfeladatok2014'!N193</f>
        <v>0</v>
      </c>
      <c r="Q39" s="877">
        <f>+'13.mell_ÖNKfeladatok2014'!O193</f>
        <v>0</v>
      </c>
      <c r="R39" s="877">
        <f>+'13.mell_ÖNKfeladatok2014'!P193</f>
        <v>0</v>
      </c>
      <c r="S39" s="880">
        <f>SUM(K39:R39)</f>
        <v>0</v>
      </c>
      <c r="T39" s="877">
        <f>S39-J39</f>
        <v>0</v>
      </c>
      <c r="U39" s="881"/>
      <c r="V39" s="880">
        <f>+T39-U39</f>
        <v>0</v>
      </c>
    </row>
    <row r="40" spans="1:22" s="852" customFormat="1" ht="12.75" thickBot="1">
      <c r="A40" s="775" t="s">
        <v>1049</v>
      </c>
      <c r="B40" s="776" t="s">
        <v>1072</v>
      </c>
      <c r="C40" s="877">
        <f>+'13.mell_ÖNKfeladatok2014'!H94</f>
        <v>0</v>
      </c>
      <c r="D40" s="877">
        <f>+'13.mell_ÖNKfeladatok2014'!I94</f>
        <v>0</v>
      </c>
      <c r="E40" s="877">
        <f>+'13.mell_ÖNKfeladatok2014'!J94</f>
        <v>0</v>
      </c>
      <c r="F40" s="877">
        <f>+'13.mell_ÖNKfeladatok2014'!K94</f>
        <v>0</v>
      </c>
      <c r="G40" s="877">
        <f>+'13.mell_ÖNKfeladatok2014'!M94</f>
        <v>0</v>
      </c>
      <c r="H40" s="877">
        <f>+'13.mell_ÖNKfeladatok2014'!N94</f>
        <v>0</v>
      </c>
      <c r="I40" s="877">
        <f>+'13.mell_ÖNKfeladatok2014'!O94</f>
        <v>0</v>
      </c>
      <c r="J40" s="880">
        <f>SUM(C40:I40)</f>
        <v>0</v>
      </c>
      <c r="K40" s="877">
        <f>+'13.mell_ÖNKfeladatok2014'!H194</f>
        <v>0</v>
      </c>
      <c r="L40" s="877">
        <f>+'13.mell_ÖNKfeladatok2014'!I194</f>
        <v>0</v>
      </c>
      <c r="M40" s="877">
        <f>+'13.mell_ÖNKfeladatok2014'!J194</f>
        <v>0</v>
      </c>
      <c r="N40" s="877">
        <f>+'13.mell_ÖNKfeladatok2014'!K194</f>
        <v>0</v>
      </c>
      <c r="O40" s="877">
        <f>+'13.mell_ÖNKfeladatok2014'!L194</f>
        <v>0</v>
      </c>
      <c r="P40" s="877">
        <f>+'13.mell_ÖNKfeladatok2014'!N194</f>
        <v>0</v>
      </c>
      <c r="Q40" s="877">
        <f>+'13.mell_ÖNKfeladatok2014'!O194</f>
        <v>0</v>
      </c>
      <c r="R40" s="877">
        <f>+'13.mell_ÖNKfeladatok2014'!P194</f>
        <v>0</v>
      </c>
      <c r="S40" s="880">
        <f>SUM(K40:R40)</f>
        <v>0</v>
      </c>
      <c r="T40" s="877">
        <f>S40-J40</f>
        <v>0</v>
      </c>
      <c r="U40" s="881"/>
      <c r="V40" s="880">
        <f>+T40-U40</f>
        <v>0</v>
      </c>
    </row>
    <row r="41" spans="1:22" s="852" customFormat="1" ht="12.75" thickBot="1">
      <c r="A41" s="756" t="s">
        <v>39</v>
      </c>
      <c r="B41" s="782" t="s">
        <v>494</v>
      </c>
      <c r="C41" s="886">
        <f aca="true" t="shared" si="13" ref="C41:V41">SUM(C38:C40)</f>
        <v>250</v>
      </c>
      <c r="D41" s="887">
        <f t="shared" si="13"/>
        <v>0</v>
      </c>
      <c r="E41" s="887">
        <f t="shared" si="13"/>
        <v>3450</v>
      </c>
      <c r="F41" s="887">
        <f t="shared" si="13"/>
        <v>0</v>
      </c>
      <c r="G41" s="887">
        <f t="shared" si="13"/>
        <v>0</v>
      </c>
      <c r="H41" s="887">
        <f t="shared" si="13"/>
        <v>0</v>
      </c>
      <c r="I41" s="888">
        <f t="shared" si="13"/>
        <v>0</v>
      </c>
      <c r="J41" s="889">
        <f t="shared" si="13"/>
        <v>3700</v>
      </c>
      <c r="K41" s="886">
        <f t="shared" si="13"/>
        <v>21989</v>
      </c>
      <c r="L41" s="886">
        <f t="shared" si="13"/>
        <v>5823</v>
      </c>
      <c r="M41" s="886">
        <f t="shared" si="13"/>
        <v>35930</v>
      </c>
      <c r="N41" s="886">
        <f t="shared" si="13"/>
        <v>0</v>
      </c>
      <c r="O41" s="886">
        <f t="shared" si="13"/>
        <v>0</v>
      </c>
      <c r="P41" s="886">
        <f t="shared" si="13"/>
        <v>0</v>
      </c>
      <c r="Q41" s="886">
        <f t="shared" si="13"/>
        <v>0</v>
      </c>
      <c r="R41" s="886">
        <f t="shared" si="13"/>
        <v>0</v>
      </c>
      <c r="S41" s="889">
        <f t="shared" si="13"/>
        <v>63742</v>
      </c>
      <c r="T41" s="886">
        <f t="shared" si="13"/>
        <v>60042</v>
      </c>
      <c r="U41" s="888">
        <f t="shared" si="13"/>
        <v>16527</v>
      </c>
      <c r="V41" s="889">
        <f t="shared" si="13"/>
        <v>43515</v>
      </c>
    </row>
    <row r="42" spans="1:22" s="231" customFormat="1" ht="12.75" thickBot="1">
      <c r="A42" s="806"/>
      <c r="B42" s="904"/>
      <c r="C42" s="892"/>
      <c r="D42" s="893"/>
      <c r="E42" s="893"/>
      <c r="F42" s="893"/>
      <c r="G42" s="893"/>
      <c r="H42" s="893"/>
      <c r="I42" s="894"/>
      <c r="J42" s="895"/>
      <c r="K42" s="905"/>
      <c r="L42" s="905"/>
      <c r="M42" s="905"/>
      <c r="N42" s="905"/>
      <c r="O42" s="905"/>
      <c r="P42" s="905"/>
      <c r="Q42" s="905"/>
      <c r="R42" s="905"/>
      <c r="S42" s="903"/>
      <c r="T42" s="900"/>
      <c r="U42" s="906"/>
      <c r="V42" s="903"/>
    </row>
    <row r="43" spans="1:22" s="852" customFormat="1" ht="12.75" thickBot="1">
      <c r="A43" s="884" t="s">
        <v>693</v>
      </c>
      <c r="B43" s="885" t="s">
        <v>1082</v>
      </c>
      <c r="C43" s="886">
        <f>+C19+C31+C36+C41</f>
        <v>1126437</v>
      </c>
      <c r="D43" s="886">
        <f aca="true" t="shared" si="14" ref="D43:I43">+D19+D31+D36+D41</f>
        <v>295460</v>
      </c>
      <c r="E43" s="886">
        <f t="shared" si="14"/>
        <v>94452</v>
      </c>
      <c r="F43" s="886">
        <f t="shared" si="14"/>
        <v>54162</v>
      </c>
      <c r="G43" s="886">
        <f t="shared" si="14"/>
        <v>23356</v>
      </c>
      <c r="H43" s="886">
        <f t="shared" si="14"/>
        <v>300</v>
      </c>
      <c r="I43" s="886">
        <f t="shared" si="14"/>
        <v>2700</v>
      </c>
      <c r="J43" s="889">
        <f aca="true" t="shared" si="15" ref="J43:V43">+J19+J31+J36+J41</f>
        <v>1596867</v>
      </c>
      <c r="K43" s="907">
        <f t="shared" si="15"/>
        <v>523384</v>
      </c>
      <c r="L43" s="907">
        <f t="shared" si="15"/>
        <v>110637</v>
      </c>
      <c r="M43" s="907">
        <f t="shared" si="15"/>
        <v>581830</v>
      </c>
      <c r="N43" s="907">
        <f t="shared" si="15"/>
        <v>266825</v>
      </c>
      <c r="O43" s="907">
        <f t="shared" si="15"/>
        <v>92448</v>
      </c>
      <c r="P43" s="907">
        <f t="shared" si="15"/>
        <v>96779</v>
      </c>
      <c r="Q43" s="907">
        <f t="shared" si="15"/>
        <v>15000</v>
      </c>
      <c r="R43" s="907">
        <f t="shared" si="15"/>
        <v>0</v>
      </c>
      <c r="S43" s="908">
        <f t="shared" si="15"/>
        <v>1686903</v>
      </c>
      <c r="T43" s="907">
        <f t="shared" si="15"/>
        <v>90036</v>
      </c>
      <c r="U43" s="909">
        <f t="shared" si="15"/>
        <v>0</v>
      </c>
      <c r="V43" s="908">
        <f t="shared" si="15"/>
        <v>90036</v>
      </c>
    </row>
    <row r="44" spans="1:22" s="852" customFormat="1" ht="12.75" thickBot="1">
      <c r="A44" s="921" t="s">
        <v>70</v>
      </c>
      <c r="B44" s="912" t="s">
        <v>1083</v>
      </c>
      <c r="C44" s="913"/>
      <c r="D44" s="913"/>
      <c r="E44" s="913"/>
      <c r="F44" s="913">
        <f>+'1.mell._Össz_Mérleg2014'!C67</f>
        <v>90036</v>
      </c>
      <c r="G44" s="913"/>
      <c r="H44" s="913"/>
      <c r="I44" s="913">
        <f>+'1.mell._Össz_Mérleg2014'!C79</f>
        <v>0</v>
      </c>
      <c r="J44" s="920">
        <f>SUM(C44:I44)</f>
        <v>90036</v>
      </c>
      <c r="K44" s="913"/>
      <c r="L44" s="913"/>
      <c r="M44" s="913"/>
      <c r="N44" s="913"/>
      <c r="O44" s="913">
        <f>+'1.mell._Össz_Mérleg2014'!C166</f>
        <v>0</v>
      </c>
      <c r="P44" s="913"/>
      <c r="Q44" s="913"/>
      <c r="R44" s="913">
        <f>+'1.mell._Össz_Mérleg2014'!C179</f>
        <v>0</v>
      </c>
      <c r="S44" s="920">
        <f>SUM(K44:R44)</f>
        <v>0</v>
      </c>
      <c r="T44" s="913">
        <f>S44-J44</f>
        <v>-90036</v>
      </c>
      <c r="U44" s="914"/>
      <c r="V44" s="915">
        <f>+T44-U44</f>
        <v>-90036</v>
      </c>
    </row>
    <row r="45" spans="1:22" s="231" customFormat="1" ht="12.75" thickBot="1">
      <c r="A45" s="884" t="s">
        <v>69</v>
      </c>
      <c r="B45" s="885" t="s">
        <v>1084</v>
      </c>
      <c r="C45" s="886">
        <f>+C43+C44</f>
        <v>1126437</v>
      </c>
      <c r="D45" s="886">
        <f aca="true" t="shared" si="16" ref="D45:I45">+D43+D44</f>
        <v>295460</v>
      </c>
      <c r="E45" s="886">
        <f t="shared" si="16"/>
        <v>94452</v>
      </c>
      <c r="F45" s="886">
        <f t="shared" si="16"/>
        <v>144198</v>
      </c>
      <c r="G45" s="886">
        <f t="shared" si="16"/>
        <v>23356</v>
      </c>
      <c r="H45" s="886">
        <f t="shared" si="16"/>
        <v>300</v>
      </c>
      <c r="I45" s="886">
        <f t="shared" si="16"/>
        <v>2700</v>
      </c>
      <c r="J45" s="889">
        <f aca="true" t="shared" si="17" ref="J45:V45">+J43+J44</f>
        <v>1686903</v>
      </c>
      <c r="K45" s="886">
        <f t="shared" si="17"/>
        <v>523384</v>
      </c>
      <c r="L45" s="886">
        <f t="shared" si="17"/>
        <v>110637</v>
      </c>
      <c r="M45" s="886">
        <f t="shared" si="17"/>
        <v>581830</v>
      </c>
      <c r="N45" s="886">
        <f t="shared" si="17"/>
        <v>266825</v>
      </c>
      <c r="O45" s="886">
        <f t="shared" si="17"/>
        <v>92448</v>
      </c>
      <c r="P45" s="886">
        <f t="shared" si="17"/>
        <v>96779</v>
      </c>
      <c r="Q45" s="886">
        <f t="shared" si="17"/>
        <v>15000</v>
      </c>
      <c r="R45" s="886">
        <f t="shared" si="17"/>
        <v>0</v>
      </c>
      <c r="S45" s="889">
        <f t="shared" si="17"/>
        <v>1686903</v>
      </c>
      <c r="T45" s="886">
        <f t="shared" si="17"/>
        <v>0</v>
      </c>
      <c r="U45" s="888">
        <f t="shared" si="17"/>
        <v>0</v>
      </c>
      <c r="V45" s="889">
        <f t="shared" si="17"/>
        <v>0</v>
      </c>
    </row>
    <row r="46" spans="1:22" s="852" customFormat="1" ht="12">
      <c r="A46" s="927"/>
      <c r="B46" s="910"/>
      <c r="C46" s="910"/>
      <c r="D46" s="910"/>
      <c r="E46" s="910"/>
      <c r="F46" s="910"/>
      <c r="G46" s="910"/>
      <c r="H46" s="910"/>
      <c r="I46" s="910"/>
      <c r="J46" s="910"/>
      <c r="K46" s="910"/>
      <c r="L46" s="910"/>
      <c r="M46" s="910"/>
      <c r="N46" s="910"/>
      <c r="O46" s="910"/>
      <c r="P46" s="910"/>
      <c r="Q46" s="910"/>
      <c r="R46" s="910"/>
      <c r="S46" s="910"/>
      <c r="T46" s="910"/>
      <c r="U46" s="910"/>
      <c r="V46" s="910"/>
    </row>
    <row r="47" spans="10:19" ht="12" hidden="1">
      <c r="J47" s="852">
        <f>+'1.mell._Össz_Mérleg2014'!C65</f>
        <v>1596867</v>
      </c>
      <c r="S47" s="852">
        <f>+'1.mell._Össz_Mérleg2014'!C165</f>
        <v>1686903</v>
      </c>
    </row>
    <row r="48" spans="10:21" ht="12" hidden="1">
      <c r="J48" s="852">
        <f>+J45-J47</f>
        <v>90036</v>
      </c>
      <c r="S48" s="852">
        <f>+S45-S47</f>
        <v>0</v>
      </c>
      <c r="U48" s="911"/>
    </row>
  </sheetData>
  <sheetProtection/>
  <mergeCells count="1">
    <mergeCell ref="B2:V2"/>
  </mergeCells>
  <printOptions/>
  <pageMargins left="0.2362204724409449" right="0.2362204724409449" top="0.6299212598425197" bottom="0.7480314960629921" header="0.31496062992125984" footer="0.31496062992125984"/>
  <pageSetup fitToHeight="1" fitToWidth="1" horizontalDpi="600" verticalDpi="600" orientation="landscape" paperSize="9" scale="3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H29"/>
  <sheetViews>
    <sheetView zoomScalePageLayoutView="0" workbookViewId="0" topLeftCell="A1">
      <selection activeCell="H1" sqref="H1"/>
    </sheetView>
  </sheetViews>
  <sheetFormatPr defaultColWidth="9.00390625" defaultRowHeight="12.75"/>
  <cols>
    <col min="1" max="1" width="4.75390625" style="943" customWidth="1"/>
    <col min="2" max="2" width="28.375" style="943" customWidth="1"/>
    <col min="3" max="8" width="10.125" style="943" customWidth="1"/>
    <col min="9" max="16384" width="9.125" style="943" customWidth="1"/>
  </cols>
  <sheetData>
    <row r="1" spans="1:8" ht="15.75">
      <c r="A1" s="941"/>
      <c r="B1" s="942"/>
      <c r="C1" s="942"/>
      <c r="D1" s="942"/>
      <c r="E1" s="942"/>
      <c r="F1" s="942"/>
      <c r="G1" s="942"/>
      <c r="H1" s="223" t="s">
        <v>1420</v>
      </c>
    </row>
    <row r="2" spans="1:8" ht="15.75">
      <c r="A2" s="941"/>
      <c r="B2" s="942"/>
      <c r="C2" s="942"/>
      <c r="D2" s="942"/>
      <c r="E2" s="942"/>
      <c r="F2" s="942"/>
      <c r="G2" s="942"/>
      <c r="H2" s="942"/>
    </row>
    <row r="3" spans="1:8" ht="15.75">
      <c r="A3" s="1370" t="s">
        <v>1104</v>
      </c>
      <c r="B3" s="1370"/>
      <c r="C3" s="1370"/>
      <c r="D3" s="1370"/>
      <c r="E3" s="1370"/>
      <c r="F3" s="1370"/>
      <c r="G3" s="1370"/>
      <c r="H3" s="1370"/>
    </row>
    <row r="4" spans="1:8" ht="15.75">
      <c r="A4" s="1370"/>
      <c r="B4" s="1370"/>
      <c r="C4" s="1370"/>
      <c r="D4" s="1370"/>
      <c r="E4" s="1370"/>
      <c r="F4" s="1370"/>
      <c r="G4" s="1370"/>
      <c r="H4" s="1370"/>
    </row>
    <row r="6" spans="1:8" s="941" customFormat="1" ht="27" customHeight="1">
      <c r="A6" s="944" t="s">
        <v>1105</v>
      </c>
      <c r="B6" s="945"/>
      <c r="C6" s="1371" t="s">
        <v>1106</v>
      </c>
      <c r="D6" s="1371"/>
      <c r="E6" s="1371"/>
      <c r="F6" s="1371"/>
      <c r="G6" s="1371"/>
      <c r="H6" s="1371"/>
    </row>
    <row r="7" s="941" customFormat="1" ht="15.75"/>
    <row r="8" spans="1:8" s="941" customFormat="1" ht="24.75" customHeight="1">
      <c r="A8" s="944" t="s">
        <v>1107</v>
      </c>
      <c r="B8" s="945"/>
      <c r="C8" s="1371" t="s">
        <v>1106</v>
      </c>
      <c r="D8" s="1371"/>
      <c r="E8" s="1371"/>
      <c r="F8" s="1371"/>
      <c r="G8" s="1371"/>
      <c r="H8" s="945"/>
    </row>
    <row r="9" s="946" customFormat="1" ht="12.75"/>
    <row r="10" s="948" customFormat="1" ht="15" customHeight="1">
      <c r="A10" s="947" t="s">
        <v>1108</v>
      </c>
    </row>
    <row r="11" s="948" customFormat="1" ht="15" customHeight="1" thickBot="1">
      <c r="A11" s="947" t="s">
        <v>1109</v>
      </c>
    </row>
    <row r="12" spans="1:8" s="952" customFormat="1" ht="42" customHeight="1" thickBot="1">
      <c r="A12" s="949" t="s">
        <v>17</v>
      </c>
      <c r="B12" s="950" t="s">
        <v>1110</v>
      </c>
      <c r="C12" s="950" t="s">
        <v>1111</v>
      </c>
      <c r="D12" s="950" t="s">
        <v>1112</v>
      </c>
      <c r="E12" s="950" t="s">
        <v>1113</v>
      </c>
      <c r="F12" s="950" t="s">
        <v>1114</v>
      </c>
      <c r="G12" s="950" t="s">
        <v>1115</v>
      </c>
      <c r="H12" s="951" t="s">
        <v>519</v>
      </c>
    </row>
    <row r="13" spans="1:8" ht="24" customHeight="1">
      <c r="A13" s="953" t="s">
        <v>4</v>
      </c>
      <c r="B13" s="954" t="s">
        <v>1116</v>
      </c>
      <c r="C13" s="955"/>
      <c r="D13" s="955"/>
      <c r="E13" s="955"/>
      <c r="F13" s="955"/>
      <c r="G13" s="955"/>
      <c r="H13" s="956">
        <f>SUM(C13:G13)</f>
        <v>0</v>
      </c>
    </row>
    <row r="14" spans="1:8" ht="24" customHeight="1">
      <c r="A14" s="957" t="s">
        <v>5</v>
      </c>
      <c r="B14" s="958" t="s">
        <v>1117</v>
      </c>
      <c r="C14" s="959"/>
      <c r="D14" s="959"/>
      <c r="E14" s="959"/>
      <c r="F14" s="959"/>
      <c r="G14" s="959"/>
      <c r="H14" s="960">
        <f aca="true" t="shared" si="0" ref="H14:H19">SUM(C14:G14)</f>
        <v>0</v>
      </c>
    </row>
    <row r="15" spans="1:8" ht="24" customHeight="1">
      <c r="A15" s="957" t="s">
        <v>6</v>
      </c>
      <c r="B15" s="958" t="s">
        <v>1118</v>
      </c>
      <c r="C15" s="959"/>
      <c r="D15" s="959"/>
      <c r="E15" s="959"/>
      <c r="F15" s="959"/>
      <c r="G15" s="959"/>
      <c r="H15" s="960">
        <f t="shared" si="0"/>
        <v>0</v>
      </c>
    </row>
    <row r="16" spans="1:8" ht="24" customHeight="1">
      <c r="A16" s="957" t="s">
        <v>3</v>
      </c>
      <c r="B16" s="958" t="s">
        <v>1119</v>
      </c>
      <c r="C16" s="959"/>
      <c r="D16" s="959"/>
      <c r="E16" s="959"/>
      <c r="F16" s="959"/>
      <c r="G16" s="959"/>
      <c r="H16" s="960">
        <f t="shared" si="0"/>
        <v>0</v>
      </c>
    </row>
    <row r="17" spans="1:8" ht="24" customHeight="1">
      <c r="A17" s="957" t="s">
        <v>16</v>
      </c>
      <c r="B17" s="958" t="s">
        <v>1120</v>
      </c>
      <c r="C17" s="959"/>
      <c r="D17" s="959"/>
      <c r="E17" s="959"/>
      <c r="F17" s="959"/>
      <c r="G17" s="959"/>
      <c r="H17" s="960">
        <f t="shared" si="0"/>
        <v>0</v>
      </c>
    </row>
    <row r="18" spans="1:8" ht="24" customHeight="1" thickBot="1">
      <c r="A18" s="961" t="s">
        <v>15</v>
      </c>
      <c r="B18" s="962" t="s">
        <v>1121</v>
      </c>
      <c r="C18" s="963"/>
      <c r="D18" s="963"/>
      <c r="E18" s="963"/>
      <c r="F18" s="963"/>
      <c r="G18" s="963"/>
      <c r="H18" s="964">
        <f t="shared" si="0"/>
        <v>0</v>
      </c>
    </row>
    <row r="19" spans="1:8" s="968" customFormat="1" ht="24" customHeight="1" thickBot="1">
      <c r="A19" s="965" t="s">
        <v>14</v>
      </c>
      <c r="B19" s="486" t="s">
        <v>519</v>
      </c>
      <c r="C19" s="966">
        <f>SUM(C13:C18)</f>
        <v>0</v>
      </c>
      <c r="D19" s="966">
        <f>SUM(D13:D18)</f>
        <v>0</v>
      </c>
      <c r="E19" s="966">
        <f>SUM(E13:E18)</f>
        <v>0</v>
      </c>
      <c r="F19" s="966">
        <f>SUM(F13:F18)</f>
        <v>0</v>
      </c>
      <c r="G19" s="966">
        <f>SUM(G13:G18)</f>
        <v>0</v>
      </c>
      <c r="H19" s="967">
        <f t="shared" si="0"/>
        <v>0</v>
      </c>
    </row>
    <row r="20" s="946" customFormat="1" ht="12.75"/>
    <row r="21" s="946" customFormat="1" ht="12.75"/>
    <row r="22" s="946" customFormat="1" ht="12.75"/>
    <row r="23" s="946" customFormat="1" ht="15.75">
      <c r="A23" s="941" t="s">
        <v>1187</v>
      </c>
    </row>
    <row r="24" s="946" customFormat="1" ht="12.75"/>
    <row r="26" spans="3:7" ht="12.75">
      <c r="C26" s="969"/>
      <c r="D26" s="969"/>
      <c r="E26" s="969"/>
      <c r="F26" s="969"/>
      <c r="G26" s="969"/>
    </row>
    <row r="27" spans="3:7" ht="13.5">
      <c r="C27" s="970"/>
      <c r="D27" s="971" t="s">
        <v>1122</v>
      </c>
      <c r="E27" s="971"/>
      <c r="F27" s="971"/>
      <c r="G27" s="970"/>
    </row>
    <row r="28" spans="3:7" ht="13.5">
      <c r="C28" s="972"/>
      <c r="D28" s="973"/>
      <c r="E28" s="973"/>
      <c r="F28" s="973"/>
      <c r="G28" s="972"/>
    </row>
    <row r="29" spans="3:7" ht="13.5">
      <c r="C29" s="972"/>
      <c r="D29" s="973"/>
      <c r="E29" s="973"/>
      <c r="F29" s="973"/>
      <c r="G29" s="972"/>
    </row>
  </sheetData>
  <sheetProtection/>
  <mergeCells count="4">
    <mergeCell ref="A3:H3"/>
    <mergeCell ref="A4:H4"/>
    <mergeCell ref="C6:H6"/>
    <mergeCell ref="C8:G8"/>
  </mergeCells>
  <printOptions horizontalCentered="1"/>
  <pageMargins left="0.7874015748031497" right="0.7874015748031497" top="0.6692913385826772" bottom="0.984251968503937" header="0.4724409448818898" footer="0.7874015748031497"/>
  <pageSetup fitToHeight="1" fitToWidth="1" horizontalDpi="600" verticalDpi="600" orientation="portrait" paperSize="9" scale="92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F25"/>
  <sheetViews>
    <sheetView zoomScalePageLayoutView="0" workbookViewId="0" topLeftCell="A1">
      <selection activeCell="F1" sqref="F1"/>
    </sheetView>
  </sheetViews>
  <sheetFormatPr defaultColWidth="9.00390625" defaultRowHeight="12.75"/>
  <cols>
    <col min="1" max="1" width="16.00390625" style="974" bestFit="1" customWidth="1"/>
    <col min="2" max="2" width="27.625" style="974" customWidth="1"/>
    <col min="3" max="6" width="11.625" style="974" customWidth="1"/>
    <col min="7" max="16384" width="9.125" style="974" customWidth="1"/>
  </cols>
  <sheetData>
    <row r="1" ht="15.75">
      <c r="F1" s="223" t="s">
        <v>1421</v>
      </c>
    </row>
    <row r="3" spans="1:6" ht="27.75" customHeight="1">
      <c r="A3" s="1372" t="s">
        <v>1189</v>
      </c>
      <c r="B3" s="1372"/>
      <c r="C3" s="1372"/>
      <c r="D3" s="1372"/>
      <c r="E3" s="1372"/>
      <c r="F3" s="1372"/>
    </row>
    <row r="4" spans="1:6" ht="12.75" customHeight="1">
      <c r="A4" s="1120"/>
      <c r="B4" s="1120"/>
      <c r="C4" s="1120"/>
      <c r="D4" s="1120"/>
      <c r="E4" s="1120"/>
      <c r="F4" s="1120"/>
    </row>
    <row r="5" ht="15.75" thickBot="1">
      <c r="F5" s="976"/>
    </row>
    <row r="6" spans="1:6" ht="14.25">
      <c r="A6" s="1373" t="s">
        <v>1123</v>
      </c>
      <c r="B6" s="1374"/>
      <c r="C6" s="1377" t="s">
        <v>1124</v>
      </c>
      <c r="D6" s="1378"/>
      <c r="E6" s="1377" t="s">
        <v>1193</v>
      </c>
      <c r="F6" s="1378"/>
    </row>
    <row r="7" spans="1:6" ht="15.75" thickBot="1">
      <c r="A7" s="1375"/>
      <c r="B7" s="1376"/>
      <c r="C7" s="1121" t="s">
        <v>1125</v>
      </c>
      <c r="D7" s="1122" t="s">
        <v>1126</v>
      </c>
      <c r="E7" s="1123">
        <v>1</v>
      </c>
      <c r="F7" s="1124">
        <v>0.5</v>
      </c>
    </row>
    <row r="8" spans="1:6" ht="15">
      <c r="A8" s="1379" t="s">
        <v>1127</v>
      </c>
      <c r="B8" s="1380"/>
      <c r="C8" s="1125">
        <v>26</v>
      </c>
      <c r="D8" s="1126">
        <f>+ROUND(C8*1.27,0)</f>
        <v>33</v>
      </c>
      <c r="E8" s="1125">
        <f>+D8</f>
        <v>33</v>
      </c>
      <c r="F8" s="1127">
        <f>+ROUND(E8*0.5,0)-1</f>
        <v>16</v>
      </c>
    </row>
    <row r="9" spans="1:6" ht="15">
      <c r="A9" s="1381" t="s">
        <v>1128</v>
      </c>
      <c r="B9" s="1382"/>
      <c r="C9" s="1128">
        <v>45</v>
      </c>
      <c r="D9" s="1129">
        <f>+ROUND(C9*1.27,0)</f>
        <v>57</v>
      </c>
      <c r="E9" s="1128">
        <f>+D9</f>
        <v>57</v>
      </c>
      <c r="F9" s="1130">
        <f>+ROUND(E9*0.5,0)</f>
        <v>29</v>
      </c>
    </row>
    <row r="10" spans="1:6" ht="15">
      <c r="A10" s="1381" t="s">
        <v>1129</v>
      </c>
      <c r="B10" s="1382"/>
      <c r="C10" s="1128">
        <v>136</v>
      </c>
      <c r="D10" s="1129">
        <f>+ROUND(C10*1.27,0)</f>
        <v>173</v>
      </c>
      <c r="E10" s="1128">
        <f>+D10</f>
        <v>173</v>
      </c>
      <c r="F10" s="1130">
        <f>+ROUND(E10*0.5,0)-1</f>
        <v>86</v>
      </c>
    </row>
    <row r="11" spans="1:6" ht="15.75" thickBot="1">
      <c r="A11" s="1381" t="s">
        <v>1130</v>
      </c>
      <c r="B11" s="1382"/>
      <c r="C11" s="1128">
        <v>45</v>
      </c>
      <c r="D11" s="1131">
        <f>+ROUND(C11*1.27,0)</f>
        <v>57</v>
      </c>
      <c r="E11" s="1128">
        <f>+D11</f>
        <v>57</v>
      </c>
      <c r="F11" s="1130">
        <f>+ROUND(E11*0.5,0)</f>
        <v>29</v>
      </c>
    </row>
    <row r="12" spans="1:6" ht="15" thickBot="1">
      <c r="A12" s="1383" t="s">
        <v>1192</v>
      </c>
      <c r="B12" s="1384"/>
      <c r="C12" s="1132">
        <f>SUM(C8:C11)</f>
        <v>252</v>
      </c>
      <c r="D12" s="1133">
        <f>SUM(D8:D11)</f>
        <v>320</v>
      </c>
      <c r="E12" s="1132">
        <f>SUM(E8:E11)</f>
        <v>320</v>
      </c>
      <c r="F12" s="1133">
        <f>SUM(F8:F11)</f>
        <v>160</v>
      </c>
    </row>
    <row r="13" spans="1:6" ht="15">
      <c r="A13" s="1381" t="s">
        <v>1128</v>
      </c>
      <c r="B13" s="1382"/>
      <c r="C13" s="1134">
        <v>45</v>
      </c>
      <c r="D13" s="1135">
        <f>+ROUND(C13*1.27,0)</f>
        <v>57</v>
      </c>
      <c r="E13" s="1134">
        <f aca="true" t="shared" si="0" ref="E13:E19">+D13</f>
        <v>57</v>
      </c>
      <c r="F13" s="1135">
        <f>+ROUND(E13*0.5,0)-1</f>
        <v>28</v>
      </c>
    </row>
    <row r="14" spans="1:6" ht="15">
      <c r="A14" s="1381" t="s">
        <v>1129</v>
      </c>
      <c r="B14" s="1382"/>
      <c r="C14" s="1136">
        <v>136</v>
      </c>
      <c r="D14" s="1129">
        <f>+ROUND(C14*1.27,0)</f>
        <v>173</v>
      </c>
      <c r="E14" s="1136">
        <f t="shared" si="0"/>
        <v>173</v>
      </c>
      <c r="F14" s="1129">
        <f>+ROUND(E14*0.5,0)-1</f>
        <v>86</v>
      </c>
    </row>
    <row r="15" spans="1:6" ht="15.75" thickBot="1">
      <c r="A15" s="1381" t="s">
        <v>1130</v>
      </c>
      <c r="B15" s="1382"/>
      <c r="C15" s="1128">
        <v>45</v>
      </c>
      <c r="D15" s="1137">
        <f>+ROUND(C15*1.27,0)</f>
        <v>57</v>
      </c>
      <c r="E15" s="1128">
        <f t="shared" si="0"/>
        <v>57</v>
      </c>
      <c r="F15" s="1137">
        <f>+ROUND(E15*0.5,0)</f>
        <v>29</v>
      </c>
    </row>
    <row r="16" spans="1:6" ht="15.75" thickBot="1">
      <c r="A16" s="1391" t="s">
        <v>1191</v>
      </c>
      <c r="B16" s="1392"/>
      <c r="C16" s="1132">
        <f>SUM(C13:C15)</f>
        <v>226</v>
      </c>
      <c r="D16" s="1133">
        <f>SUM(D13:D15)</f>
        <v>287</v>
      </c>
      <c r="E16" s="1132">
        <f>SUM(E13:E15)</f>
        <v>287</v>
      </c>
      <c r="F16" s="1133">
        <f>SUM(F13:F15)</f>
        <v>143</v>
      </c>
    </row>
    <row r="17" spans="1:6" ht="15">
      <c r="A17" s="1393" t="s">
        <v>1128</v>
      </c>
      <c r="B17" s="1394"/>
      <c r="C17" s="1136">
        <v>52</v>
      </c>
      <c r="D17" s="1129">
        <f>+ROUND(C17*1.27,0)</f>
        <v>66</v>
      </c>
      <c r="E17" s="1136">
        <f t="shared" si="0"/>
        <v>66</v>
      </c>
      <c r="F17" s="1129">
        <f>+ROUND(E17*0.5,0)</f>
        <v>33</v>
      </c>
    </row>
    <row r="18" spans="1:6" ht="15">
      <c r="A18" s="1393" t="s">
        <v>1129</v>
      </c>
      <c r="B18" s="1394"/>
      <c r="C18" s="1136">
        <v>159</v>
      </c>
      <c r="D18" s="1129">
        <f>+ROUND(C18*1.27,0)</f>
        <v>202</v>
      </c>
      <c r="E18" s="1136">
        <f t="shared" si="0"/>
        <v>202</v>
      </c>
      <c r="F18" s="1129">
        <f>+ROUND(E18*0.5,0)</f>
        <v>101</v>
      </c>
    </row>
    <row r="19" spans="1:6" ht="15.75" thickBot="1">
      <c r="A19" s="1395" t="s">
        <v>1130</v>
      </c>
      <c r="B19" s="1396"/>
      <c r="C19" s="1138">
        <v>52</v>
      </c>
      <c r="D19" s="1139">
        <f>+ROUND(C19*1.27,0)</f>
        <v>66</v>
      </c>
      <c r="E19" s="1138">
        <f t="shared" si="0"/>
        <v>66</v>
      </c>
      <c r="F19" s="1139">
        <f>+ROUND(E19*0.5,0)</f>
        <v>33</v>
      </c>
    </row>
    <row r="20" spans="1:6" ht="15" thickBot="1">
      <c r="A20" s="1383" t="s">
        <v>1190</v>
      </c>
      <c r="B20" s="1384"/>
      <c r="C20" s="1132">
        <f>SUM(C17:C19)</f>
        <v>263</v>
      </c>
      <c r="D20" s="1133">
        <f>SUM(D17:D19)</f>
        <v>334</v>
      </c>
      <c r="E20" s="1132">
        <f>SUM(E17:E19)</f>
        <v>334</v>
      </c>
      <c r="F20" s="1133">
        <f>SUM(F17:F19)</f>
        <v>167</v>
      </c>
    </row>
    <row r="21" spans="1:6" ht="15" thickBot="1">
      <c r="A21" s="1387" t="s">
        <v>1188</v>
      </c>
      <c r="B21" s="1388"/>
      <c r="C21" s="1132"/>
      <c r="D21" s="1133"/>
      <c r="E21" s="1132">
        <v>565</v>
      </c>
      <c r="F21" s="1133"/>
    </row>
    <row r="22" spans="1:6" ht="15" thickBot="1">
      <c r="A22" s="1385"/>
      <c r="B22" s="1386"/>
      <c r="C22" s="1132"/>
      <c r="D22" s="1133"/>
      <c r="E22" s="1132"/>
      <c r="F22" s="1133"/>
    </row>
    <row r="23" spans="1:6" ht="15" thickBot="1">
      <c r="A23" s="1389" t="s">
        <v>1131</v>
      </c>
      <c r="B23" s="1390"/>
      <c r="C23" s="1140">
        <v>329</v>
      </c>
      <c r="D23" s="1141">
        <v>417</v>
      </c>
      <c r="E23" s="1140">
        <v>800</v>
      </c>
      <c r="F23" s="1133"/>
    </row>
    <row r="25" ht="12.75">
      <c r="A25" s="974" t="s">
        <v>1194</v>
      </c>
    </row>
  </sheetData>
  <sheetProtection/>
  <mergeCells count="20">
    <mergeCell ref="A23:B23"/>
    <mergeCell ref="A15:B15"/>
    <mergeCell ref="A16:B16"/>
    <mergeCell ref="A17:B17"/>
    <mergeCell ref="A18:B18"/>
    <mergeCell ref="A19:B19"/>
    <mergeCell ref="A20:B20"/>
    <mergeCell ref="A10:B10"/>
    <mergeCell ref="A11:B11"/>
    <mergeCell ref="A12:B12"/>
    <mergeCell ref="A13:B13"/>
    <mergeCell ref="A14:B14"/>
    <mergeCell ref="A22:B22"/>
    <mergeCell ref="A21:B21"/>
    <mergeCell ref="A3:F3"/>
    <mergeCell ref="A6:B7"/>
    <mergeCell ref="C6:D6"/>
    <mergeCell ref="E6:F6"/>
    <mergeCell ref="A8:B8"/>
    <mergeCell ref="A9:B9"/>
  </mergeCells>
  <printOptions/>
  <pageMargins left="0.31496062992125984" right="0.2362204724409449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H112"/>
  <sheetViews>
    <sheetView zoomScalePageLayoutView="0" workbookViewId="0" topLeftCell="A1">
      <selection activeCell="N20" sqref="N20"/>
    </sheetView>
  </sheetViews>
  <sheetFormatPr defaultColWidth="9.00390625" defaultRowHeight="12.75"/>
  <cols>
    <col min="1" max="1" width="6.00390625" style="997" customWidth="1"/>
    <col min="2" max="2" width="10.625" style="977" customWidth="1"/>
    <col min="3" max="3" width="13.25390625" style="977" customWidth="1"/>
    <col min="4" max="4" width="10.625" style="977" customWidth="1"/>
    <col min="5" max="5" width="29.75390625" style="977" customWidth="1"/>
    <col min="6" max="6" width="8.25390625" style="978" customWidth="1"/>
    <col min="7" max="7" width="3.625" style="978" customWidth="1"/>
    <col min="8" max="8" width="5.25390625" style="977" bestFit="1" customWidth="1"/>
    <col min="9" max="16384" width="9.125" style="977" customWidth="1"/>
  </cols>
  <sheetData>
    <row r="1" spans="1:7" s="989" customFormat="1" ht="15.75">
      <c r="A1" s="993"/>
      <c r="F1" s="975" t="s">
        <v>1422</v>
      </c>
      <c r="G1" s="990"/>
    </row>
    <row r="2" spans="1:7" s="989" customFormat="1" ht="15.75">
      <c r="A2" s="993"/>
      <c r="F2" s="975"/>
      <c r="G2" s="990"/>
    </row>
    <row r="3" spans="1:7" s="989" customFormat="1" ht="15.75">
      <c r="A3" s="1404" t="s">
        <v>1206</v>
      </c>
      <c r="B3" s="1404"/>
      <c r="C3" s="1404"/>
      <c r="D3" s="1404"/>
      <c r="E3" s="1404"/>
      <c r="F3" s="1404"/>
      <c r="G3" s="990"/>
    </row>
    <row r="4" spans="1:8" ht="12.75" thickBot="1">
      <c r="A4" s="996"/>
      <c r="B4" s="980"/>
      <c r="C4" s="980"/>
      <c r="D4" s="980"/>
      <c r="E4" s="980"/>
      <c r="F4" s="979" t="s">
        <v>543</v>
      </c>
      <c r="G4" s="984"/>
      <c r="H4" s="980"/>
    </row>
    <row r="5" spans="1:8" s="986" customFormat="1" ht="12.75" thickBot="1">
      <c r="A5" s="994" t="s">
        <v>4</v>
      </c>
      <c r="B5" s="986" t="s">
        <v>108</v>
      </c>
      <c r="D5" s="988"/>
      <c r="E5" s="988"/>
      <c r="F5" s="992">
        <f>F7+F22+F25+F28+F31+F38+F43+F46+F49</f>
        <v>300797</v>
      </c>
      <c r="G5" s="1108"/>
      <c r="H5" s="988"/>
    </row>
    <row r="6" spans="1:8" ht="12">
      <c r="A6" s="996"/>
      <c r="B6" s="980"/>
      <c r="C6" s="980"/>
      <c r="D6" s="980"/>
      <c r="E6" s="980"/>
      <c r="F6" s="983"/>
      <c r="G6" s="984"/>
      <c r="H6" s="980"/>
    </row>
    <row r="7" spans="1:8" s="986" customFormat="1" ht="12">
      <c r="A7" s="995" t="s">
        <v>109</v>
      </c>
      <c r="B7" s="987" t="s">
        <v>1136</v>
      </c>
      <c r="C7" s="988"/>
      <c r="D7" s="988"/>
      <c r="E7" s="988"/>
      <c r="F7" s="981">
        <f>SUM(F10:F20)</f>
        <v>28250</v>
      </c>
      <c r="G7" s="982"/>
      <c r="H7" s="988"/>
    </row>
    <row r="8" spans="1:8" ht="53.25" customHeight="1">
      <c r="A8" s="996"/>
      <c r="B8" s="1399" t="s">
        <v>1202</v>
      </c>
      <c r="C8" s="1399"/>
      <c r="D8" s="1399"/>
      <c r="E8" s="1399"/>
      <c r="F8" s="983"/>
      <c r="G8" s="984"/>
      <c r="H8" s="980"/>
    </row>
    <row r="9" spans="1:8" ht="12">
      <c r="A9" s="996"/>
      <c r="B9" s="1109"/>
      <c r="C9" s="1109"/>
      <c r="D9" s="1109"/>
      <c r="E9" s="1109"/>
      <c r="F9" s="983"/>
      <c r="G9" s="984"/>
      <c r="H9" s="980"/>
    </row>
    <row r="10" spans="1:8" ht="60" customHeight="1">
      <c r="A10" s="996"/>
      <c r="B10" s="1398" t="s">
        <v>1304</v>
      </c>
      <c r="C10" s="1398"/>
      <c r="D10" s="1398"/>
      <c r="E10" s="1398"/>
      <c r="F10" s="983">
        <v>5500</v>
      </c>
      <c r="G10" s="984"/>
      <c r="H10" s="980"/>
    </row>
    <row r="11" spans="1:8" ht="12">
      <c r="A11" s="996"/>
      <c r="B11" s="1109"/>
      <c r="C11" s="1109"/>
      <c r="D11" s="1109"/>
      <c r="E11" s="1109"/>
      <c r="F11" s="983"/>
      <c r="G11" s="984"/>
      <c r="H11" s="980"/>
    </row>
    <row r="12" spans="1:8" ht="86.25" customHeight="1">
      <c r="A12" s="996"/>
      <c r="B12" s="1397" t="s">
        <v>1305</v>
      </c>
      <c r="C12" s="1397"/>
      <c r="D12" s="1397"/>
      <c r="E12" s="1397"/>
      <c r="F12" s="983">
        <f>15000-10000</f>
        <v>5000</v>
      </c>
      <c r="G12" s="984"/>
      <c r="H12" s="980"/>
    </row>
    <row r="13" spans="1:8" ht="12.75" customHeight="1">
      <c r="A13" s="996"/>
      <c r="B13" s="1110"/>
      <c r="C13" s="1110"/>
      <c r="D13" s="1110"/>
      <c r="E13" s="1110"/>
      <c r="F13" s="983"/>
      <c r="G13" s="984"/>
      <c r="H13" s="980"/>
    </row>
    <row r="14" spans="1:8" ht="51.75" customHeight="1">
      <c r="A14" s="996"/>
      <c r="B14" s="1397" t="s">
        <v>1306</v>
      </c>
      <c r="C14" s="1397"/>
      <c r="D14" s="1397"/>
      <c r="E14" s="1397"/>
      <c r="F14" s="983">
        <v>250</v>
      </c>
      <c r="G14" s="984"/>
      <c r="H14" s="980"/>
    </row>
    <row r="15" spans="1:8" ht="12.75" customHeight="1">
      <c r="A15" s="996"/>
      <c r="B15" s="1110"/>
      <c r="C15" s="1110"/>
      <c r="D15" s="1110"/>
      <c r="E15" s="1110"/>
      <c r="F15" s="983"/>
      <c r="G15" s="984"/>
      <c r="H15" s="980"/>
    </row>
    <row r="16" spans="1:8" ht="26.25" customHeight="1">
      <c r="A16" s="996"/>
      <c r="B16" s="1397" t="s">
        <v>1307</v>
      </c>
      <c r="C16" s="1397"/>
      <c r="D16" s="1397"/>
      <c r="E16" s="1397"/>
      <c r="F16" s="983">
        <v>10000</v>
      </c>
      <c r="G16" s="984"/>
      <c r="H16" s="980"/>
    </row>
    <row r="17" spans="1:8" ht="12.75" customHeight="1">
      <c r="A17" s="996"/>
      <c r="B17" s="1110"/>
      <c r="C17" s="1110"/>
      <c r="D17" s="1110"/>
      <c r="E17" s="1110"/>
      <c r="F17" s="983"/>
      <c r="G17" s="984"/>
      <c r="H17" s="980"/>
    </row>
    <row r="18" spans="1:8" ht="62.25" customHeight="1">
      <c r="A18" s="996"/>
      <c r="B18" s="1397" t="s">
        <v>1308</v>
      </c>
      <c r="C18" s="1397"/>
      <c r="D18" s="1397"/>
      <c r="E18" s="1397"/>
      <c r="F18" s="983">
        <v>1500</v>
      </c>
      <c r="G18" s="984"/>
      <c r="H18" s="980"/>
    </row>
    <row r="19" spans="1:8" ht="12.75" customHeight="1">
      <c r="A19" s="996"/>
      <c r="B19" s="1110"/>
      <c r="C19" s="1110"/>
      <c r="D19" s="1110"/>
      <c r="E19" s="1110"/>
      <c r="F19" s="983"/>
      <c r="G19" s="984"/>
      <c r="H19" s="980"/>
    </row>
    <row r="20" spans="1:8" ht="24" customHeight="1">
      <c r="A20" s="996"/>
      <c r="B20" s="1397" t="s">
        <v>1309</v>
      </c>
      <c r="C20" s="1397"/>
      <c r="D20" s="1397"/>
      <c r="E20" s="1397"/>
      <c r="F20" s="983">
        <f>16000-6000-4000</f>
        <v>6000</v>
      </c>
      <c r="G20" s="984"/>
      <c r="H20" s="980"/>
    </row>
    <row r="21" spans="1:8" ht="12.75" customHeight="1">
      <c r="A21" s="996"/>
      <c r="B21" s="980"/>
      <c r="C21" s="980"/>
      <c r="D21" s="980"/>
      <c r="E21" s="980"/>
      <c r="F21" s="983"/>
      <c r="G21" s="984"/>
      <c r="H21" s="980"/>
    </row>
    <row r="22" spans="1:8" s="986" customFormat="1" ht="12">
      <c r="A22" s="995" t="s">
        <v>110</v>
      </c>
      <c r="B22" s="987" t="s">
        <v>1137</v>
      </c>
      <c r="C22" s="988"/>
      <c r="D22" s="988"/>
      <c r="E22" s="988"/>
      <c r="F22" s="981">
        <v>22500</v>
      </c>
      <c r="G22" s="982"/>
      <c r="H22" s="988"/>
    </row>
    <row r="23" spans="1:8" ht="49.5" customHeight="1">
      <c r="A23" s="996"/>
      <c r="B23" s="1398" t="s">
        <v>1203</v>
      </c>
      <c r="C23" s="1398"/>
      <c r="D23" s="1398"/>
      <c r="E23" s="1398"/>
      <c r="F23" s="983"/>
      <c r="G23" s="984"/>
      <c r="H23" s="980"/>
    </row>
    <row r="24" spans="1:8" ht="12">
      <c r="A24" s="996"/>
      <c r="B24" s="980"/>
      <c r="C24" s="980"/>
      <c r="D24" s="980"/>
      <c r="E24" s="980"/>
      <c r="F24" s="983"/>
      <c r="G24" s="984"/>
      <c r="H24" s="980"/>
    </row>
    <row r="25" spans="1:8" s="986" customFormat="1" ht="12">
      <c r="A25" s="995" t="s">
        <v>1207</v>
      </c>
      <c r="B25" s="987" t="s">
        <v>1138</v>
      </c>
      <c r="C25" s="988"/>
      <c r="D25" s="988"/>
      <c r="E25" s="988"/>
      <c r="F25" s="981">
        <v>2500</v>
      </c>
      <c r="G25" s="982"/>
      <c r="H25" s="988"/>
    </row>
    <row r="26" spans="1:8" ht="37.5" customHeight="1">
      <c r="A26" s="996"/>
      <c r="B26" s="1398" t="s">
        <v>1204</v>
      </c>
      <c r="C26" s="1398"/>
      <c r="D26" s="1398"/>
      <c r="E26" s="1398"/>
      <c r="F26" s="983"/>
      <c r="G26" s="984"/>
      <c r="H26" s="980"/>
    </row>
    <row r="27" spans="1:8" ht="12">
      <c r="A27" s="996"/>
      <c r="B27" s="980"/>
      <c r="C27" s="980"/>
      <c r="D27" s="980"/>
      <c r="E27" s="980"/>
      <c r="F27" s="983"/>
      <c r="G27" s="984"/>
      <c r="H27" s="980"/>
    </row>
    <row r="28" spans="1:8" s="986" customFormat="1" ht="12">
      <c r="A28" s="995" t="s">
        <v>1208</v>
      </c>
      <c r="B28" s="987" t="s">
        <v>1139</v>
      </c>
      <c r="C28" s="988"/>
      <c r="D28" s="988"/>
      <c r="E28" s="988"/>
      <c r="F28" s="981">
        <v>500</v>
      </c>
      <c r="G28" s="982"/>
      <c r="H28" s="988"/>
    </row>
    <row r="29" spans="1:8" ht="51.75" customHeight="1">
      <c r="A29" s="996"/>
      <c r="B29" s="1398" t="s">
        <v>1196</v>
      </c>
      <c r="C29" s="1398"/>
      <c r="D29" s="1398"/>
      <c r="E29" s="1398"/>
      <c r="F29" s="983"/>
      <c r="G29" s="984"/>
      <c r="H29" s="980"/>
    </row>
    <row r="30" spans="1:8" ht="12">
      <c r="A30" s="996"/>
      <c r="B30" s="980"/>
      <c r="C30" s="980"/>
      <c r="D30" s="980"/>
      <c r="E30" s="980"/>
      <c r="F30" s="983"/>
      <c r="G30" s="984"/>
      <c r="H30" s="980"/>
    </row>
    <row r="31" spans="1:8" s="986" customFormat="1" ht="12">
      <c r="A31" s="995" t="s">
        <v>1209</v>
      </c>
      <c r="B31" s="987" t="s">
        <v>1140</v>
      </c>
      <c r="C31" s="988"/>
      <c r="D31" s="988"/>
      <c r="E31" s="988"/>
      <c r="F31" s="981">
        <f>SUM(F33:F36)</f>
        <v>1900</v>
      </c>
      <c r="G31" s="982"/>
      <c r="H31" s="988"/>
    </row>
    <row r="32" spans="1:8" ht="64.5" customHeight="1">
      <c r="A32" s="996"/>
      <c r="B32" s="1398" t="s">
        <v>1141</v>
      </c>
      <c r="C32" s="1398"/>
      <c r="D32" s="1398"/>
      <c r="E32" s="1398"/>
      <c r="F32" s="983"/>
      <c r="G32" s="984"/>
      <c r="H32" s="980"/>
    </row>
    <row r="33" spans="1:8" ht="12">
      <c r="A33" s="996"/>
      <c r="B33" s="1398" t="s">
        <v>1142</v>
      </c>
      <c r="C33" s="1398"/>
      <c r="D33" s="1398"/>
      <c r="E33" s="1398"/>
      <c r="F33" s="983">
        <v>300</v>
      </c>
      <c r="G33" s="984"/>
      <c r="H33" s="980"/>
    </row>
    <row r="34" spans="1:8" ht="12">
      <c r="A34" s="996"/>
      <c r="B34" s="1400" t="s">
        <v>1143</v>
      </c>
      <c r="C34" s="1400"/>
      <c r="D34" s="1400"/>
      <c r="E34" s="1400"/>
      <c r="F34" s="983">
        <v>100</v>
      </c>
      <c r="G34" s="984"/>
      <c r="H34" s="980"/>
    </row>
    <row r="35" spans="1:8" ht="12">
      <c r="A35" s="996"/>
      <c r="B35" s="1400" t="s">
        <v>1144</v>
      </c>
      <c r="C35" s="1400"/>
      <c r="D35" s="1400"/>
      <c r="E35" s="1400"/>
      <c r="F35" s="983">
        <v>500</v>
      </c>
      <c r="G35" s="984"/>
      <c r="H35" s="980"/>
    </row>
    <row r="36" spans="1:8" ht="12">
      <c r="A36" s="996"/>
      <c r="B36" s="1401" t="s">
        <v>1145</v>
      </c>
      <c r="C36" s="1401"/>
      <c r="D36" s="1401"/>
      <c r="E36" s="1401"/>
      <c r="F36" s="983">
        <v>1000</v>
      </c>
      <c r="G36" s="984"/>
      <c r="H36" s="980"/>
    </row>
    <row r="37" spans="1:8" ht="12">
      <c r="A37" s="996"/>
      <c r="B37" s="980"/>
      <c r="C37" s="980"/>
      <c r="D37" s="980"/>
      <c r="E37" s="980"/>
      <c r="F37" s="983"/>
      <c r="G37" s="984"/>
      <c r="H37" s="980"/>
    </row>
    <row r="38" spans="1:8" s="986" customFormat="1" ht="12">
      <c r="A38" s="995" t="s">
        <v>1210</v>
      </c>
      <c r="B38" s="987" t="s">
        <v>1146</v>
      </c>
      <c r="C38" s="988"/>
      <c r="D38" s="988"/>
      <c r="E38" s="988"/>
      <c r="F38" s="981">
        <f>SUM(F40:F41)</f>
        <v>0</v>
      </c>
      <c r="G38" s="982"/>
      <c r="H38" s="988"/>
    </row>
    <row r="39" spans="1:8" ht="12">
      <c r="A39" s="996"/>
      <c r="B39" s="1402" t="s">
        <v>1147</v>
      </c>
      <c r="C39" s="1402"/>
      <c r="D39" s="1402"/>
      <c r="E39" s="1402"/>
      <c r="F39" s="983"/>
      <c r="G39" s="984"/>
      <c r="H39" s="980"/>
    </row>
    <row r="40" spans="1:8" ht="12">
      <c r="A40" s="996"/>
      <c r="B40" s="1400" t="s">
        <v>1148</v>
      </c>
      <c r="C40" s="1400"/>
      <c r="D40" s="1400"/>
      <c r="E40" s="1400"/>
      <c r="F40" s="983"/>
      <c r="G40" s="984"/>
      <c r="H40" s="980"/>
    </row>
    <row r="41" spans="1:8" ht="12">
      <c r="A41" s="996"/>
      <c r="B41" s="1400" t="s">
        <v>1149</v>
      </c>
      <c r="C41" s="1400"/>
      <c r="D41" s="1400"/>
      <c r="E41" s="1400"/>
      <c r="F41" s="983"/>
      <c r="G41" s="984"/>
      <c r="H41" s="980"/>
    </row>
    <row r="42" spans="1:8" ht="12">
      <c r="A42" s="996"/>
      <c r="B42" s="980"/>
      <c r="C42" s="980"/>
      <c r="D42" s="980"/>
      <c r="E42" s="980"/>
      <c r="F42" s="983"/>
      <c r="G42" s="984"/>
      <c r="H42" s="980"/>
    </row>
    <row r="43" spans="1:8" s="986" customFormat="1" ht="12">
      <c r="A43" s="995" t="s">
        <v>1211</v>
      </c>
      <c r="B43" s="987" t="s">
        <v>1150</v>
      </c>
      <c r="C43" s="988"/>
      <c r="D43" s="988"/>
      <c r="E43" s="988"/>
      <c r="F43" s="981">
        <v>2500</v>
      </c>
      <c r="G43" s="982"/>
      <c r="H43" s="988"/>
    </row>
    <row r="44" spans="1:8" ht="24.75" customHeight="1">
      <c r="A44" s="996"/>
      <c r="B44" s="1398" t="s">
        <v>1197</v>
      </c>
      <c r="C44" s="1398"/>
      <c r="D44" s="1398"/>
      <c r="E44" s="1398"/>
      <c r="F44" s="983"/>
      <c r="G44" s="984"/>
      <c r="H44" s="980"/>
    </row>
    <row r="45" spans="1:8" ht="12">
      <c r="A45" s="996"/>
      <c r="B45" s="980"/>
      <c r="C45" s="980"/>
      <c r="D45" s="980"/>
      <c r="E45" s="980"/>
      <c r="F45" s="983"/>
      <c r="G45" s="984"/>
      <c r="H45" s="980"/>
    </row>
    <row r="46" spans="1:8" s="986" customFormat="1" ht="12">
      <c r="A46" s="995" t="s">
        <v>1212</v>
      </c>
      <c r="B46" s="987" t="s">
        <v>1151</v>
      </c>
      <c r="C46" s="988"/>
      <c r="D46" s="988"/>
      <c r="E46" s="988"/>
      <c r="F46" s="981">
        <v>10000</v>
      </c>
      <c r="G46" s="982"/>
      <c r="H46" s="988"/>
    </row>
    <row r="47" spans="1:8" ht="72" customHeight="1">
      <c r="A47" s="996"/>
      <c r="B47" s="1398" t="s">
        <v>1205</v>
      </c>
      <c r="C47" s="1398"/>
      <c r="D47" s="1398"/>
      <c r="E47" s="1398"/>
      <c r="F47" s="983"/>
      <c r="G47" s="984"/>
      <c r="H47" s="980"/>
    </row>
    <row r="48" spans="1:8" ht="12.75" thickBot="1">
      <c r="A48" s="996"/>
      <c r="F48" s="983"/>
      <c r="G48" s="984"/>
      <c r="H48" s="980"/>
    </row>
    <row r="49" spans="1:8" s="986" customFormat="1" ht="12.75" thickBot="1">
      <c r="A49" s="995" t="s">
        <v>1213</v>
      </c>
      <c r="B49" s="987" t="s">
        <v>1152</v>
      </c>
      <c r="C49" s="988"/>
      <c r="D49" s="988"/>
      <c r="E49" s="988"/>
      <c r="F49" s="1246">
        <f>+F55+F61</f>
        <v>232647</v>
      </c>
      <c r="G49" s="982"/>
      <c r="H49" s="988"/>
    </row>
    <row r="50" spans="1:8" ht="49.5" customHeight="1">
      <c r="A50" s="996"/>
      <c r="B50" s="1400" t="s">
        <v>1198</v>
      </c>
      <c r="C50" s="1400"/>
      <c r="D50" s="1400"/>
      <c r="E50" s="1400"/>
      <c r="F50" s="983"/>
      <c r="G50" s="984"/>
      <c r="H50" s="980"/>
    </row>
    <row r="51" spans="1:8" ht="87" customHeight="1">
      <c r="A51" s="996"/>
      <c r="B51" s="1400" t="s">
        <v>1199</v>
      </c>
      <c r="C51" s="1400"/>
      <c r="D51" s="1400"/>
      <c r="E51" s="1400"/>
      <c r="F51" s="983"/>
      <c r="G51" s="984"/>
      <c r="H51" s="980"/>
    </row>
    <row r="52" spans="1:8" ht="37.5" customHeight="1">
      <c r="A52" s="996"/>
      <c r="B52" s="1400" t="s">
        <v>1200</v>
      </c>
      <c r="C52" s="1400"/>
      <c r="D52" s="1400"/>
      <c r="E52" s="1400"/>
      <c r="F52" s="983"/>
      <c r="G52" s="984"/>
      <c r="H52" s="980"/>
    </row>
    <row r="53" spans="1:8" ht="30" customHeight="1">
      <c r="A53" s="996"/>
      <c r="B53" s="1400" t="s">
        <v>1201</v>
      </c>
      <c r="C53" s="1400"/>
      <c r="D53" s="1400"/>
      <c r="E53" s="1400"/>
      <c r="F53" s="983"/>
      <c r="G53" s="984"/>
      <c r="H53" s="980"/>
    </row>
    <row r="54" spans="1:8" ht="12">
      <c r="A54" s="996"/>
      <c r="B54" s="985"/>
      <c r="C54" s="985"/>
      <c r="D54" s="985"/>
      <c r="E54" s="985"/>
      <c r="F54" s="983"/>
      <c r="G54" s="984"/>
      <c r="H54" s="980"/>
    </row>
    <row r="55" spans="1:8" ht="12">
      <c r="A55" s="996"/>
      <c r="B55" s="977" t="s">
        <v>1398</v>
      </c>
      <c r="D55" s="985"/>
      <c r="E55" s="985"/>
      <c r="F55" s="981">
        <f>+F56+F57+F58+F59</f>
        <v>222647</v>
      </c>
      <c r="G55" s="984"/>
      <c r="H55" s="980"/>
    </row>
    <row r="56" spans="1:8" ht="14.25" customHeight="1">
      <c r="A56" s="996"/>
      <c r="D56" s="985"/>
      <c r="E56" s="985" t="s">
        <v>1394</v>
      </c>
      <c r="F56" s="983">
        <v>184345</v>
      </c>
      <c r="G56" s="984"/>
      <c r="H56" s="980"/>
    </row>
    <row r="57" spans="1:8" ht="14.25" customHeight="1">
      <c r="A57" s="996"/>
      <c r="D57" s="985"/>
      <c r="E57" s="985" t="s">
        <v>1397</v>
      </c>
      <c r="F57" s="983">
        <v>24888</v>
      </c>
      <c r="G57" s="984"/>
      <c r="H57" s="980"/>
    </row>
    <row r="58" spans="1:8" ht="14.25" customHeight="1">
      <c r="A58" s="996"/>
      <c r="D58" s="985"/>
      <c r="E58" s="985" t="s">
        <v>1395</v>
      </c>
      <c r="F58" s="983">
        <v>8214</v>
      </c>
      <c r="G58" s="984"/>
      <c r="H58" s="980"/>
    </row>
    <row r="59" spans="1:8" ht="14.25" customHeight="1">
      <c r="A59" s="996"/>
      <c r="D59" s="985"/>
      <c r="E59" s="985" t="s">
        <v>1396</v>
      </c>
      <c r="F59" s="983">
        <v>5200</v>
      </c>
      <c r="G59" s="984"/>
      <c r="H59" s="980"/>
    </row>
    <row r="60" spans="1:8" ht="14.25" customHeight="1">
      <c r="A60" s="996"/>
      <c r="B60" s="985"/>
      <c r="C60" s="985"/>
      <c r="D60" s="985"/>
      <c r="E60" s="985"/>
      <c r="F60" s="983"/>
      <c r="G60" s="984"/>
      <c r="H60" s="980"/>
    </row>
    <row r="61" spans="1:8" ht="14.25" customHeight="1">
      <c r="A61" s="996"/>
      <c r="B61" s="977" t="s">
        <v>1399</v>
      </c>
      <c r="C61" s="985"/>
      <c r="D61" s="985"/>
      <c r="E61" s="985"/>
      <c r="F61" s="981">
        <v>10000</v>
      </c>
      <c r="G61" s="984"/>
      <c r="H61" s="980"/>
    </row>
    <row r="62" spans="1:8" ht="14.25" customHeight="1" thickBot="1">
      <c r="A62" s="996"/>
      <c r="B62" s="985"/>
      <c r="C62" s="985"/>
      <c r="D62" s="985"/>
      <c r="E62" s="985"/>
      <c r="F62" s="983"/>
      <c r="G62" s="984"/>
      <c r="H62" s="980"/>
    </row>
    <row r="63" spans="1:8" s="986" customFormat="1" ht="14.25" customHeight="1" thickBot="1">
      <c r="A63" s="995" t="s">
        <v>5</v>
      </c>
      <c r="B63" s="991" t="s">
        <v>76</v>
      </c>
      <c r="C63" s="991"/>
      <c r="D63" s="991"/>
      <c r="E63" s="991"/>
      <c r="F63" s="992">
        <f>+F65+F68+F71+F73+F76+F79+F81+F85+F89</f>
        <v>31447</v>
      </c>
      <c r="G63" s="982"/>
      <c r="H63" s="988"/>
    </row>
    <row r="64" spans="1:8" ht="14.25" customHeight="1">
      <c r="A64" s="996"/>
      <c r="B64" s="985"/>
      <c r="C64" s="985"/>
      <c r="D64" s="985"/>
      <c r="E64" s="985"/>
      <c r="F64" s="983"/>
      <c r="G64" s="984"/>
      <c r="H64" s="980"/>
    </row>
    <row r="65" spans="1:8" ht="12">
      <c r="A65" s="996" t="s">
        <v>1153</v>
      </c>
      <c r="B65" s="986" t="s">
        <v>1154</v>
      </c>
      <c r="C65" s="980"/>
      <c r="D65" s="980"/>
      <c r="E65" s="980"/>
      <c r="F65" s="981">
        <f>500+1000</f>
        <v>1500</v>
      </c>
      <c r="G65" s="982"/>
      <c r="H65" s="980"/>
    </row>
    <row r="66" spans="1:8" ht="24" customHeight="1">
      <c r="A66" s="996"/>
      <c r="B66" s="1403" t="s">
        <v>1217</v>
      </c>
      <c r="C66" s="1403"/>
      <c r="D66" s="1403"/>
      <c r="E66" s="1403"/>
      <c r="F66" s="983"/>
      <c r="G66" s="984"/>
      <c r="H66" s="980"/>
    </row>
    <row r="67" spans="1:8" ht="12">
      <c r="A67" s="996"/>
      <c r="B67" s="980"/>
      <c r="C67" s="980"/>
      <c r="D67" s="980"/>
      <c r="E67" s="980"/>
      <c r="F67" s="983"/>
      <c r="G67" s="984"/>
      <c r="H67" s="980"/>
    </row>
    <row r="68" spans="1:8" ht="12">
      <c r="A68" s="996" t="s">
        <v>1155</v>
      </c>
      <c r="B68" s="986" t="s">
        <v>1156</v>
      </c>
      <c r="C68" s="980"/>
      <c r="D68" s="980"/>
      <c r="E68" s="980"/>
      <c r="F68" s="981">
        <v>0</v>
      </c>
      <c r="G68" s="984"/>
      <c r="H68" s="980"/>
    </row>
    <row r="69" spans="1:8" ht="25.5" customHeight="1">
      <c r="A69" s="996"/>
      <c r="B69" s="1398" t="s">
        <v>1157</v>
      </c>
      <c r="C69" s="1398"/>
      <c r="D69" s="1398"/>
      <c r="E69" s="1398"/>
      <c r="G69" s="982"/>
      <c r="H69" s="980"/>
    </row>
    <row r="70" spans="1:8" ht="12">
      <c r="A70" s="996"/>
      <c r="B70" s="980"/>
      <c r="C70" s="980"/>
      <c r="D70" s="980"/>
      <c r="E70" s="980"/>
      <c r="F70" s="983"/>
      <c r="G70" s="984"/>
      <c r="H70" s="980"/>
    </row>
    <row r="71" spans="1:8" ht="12">
      <c r="A71" s="996" t="s">
        <v>1158</v>
      </c>
      <c r="B71" s="986" t="s">
        <v>1159</v>
      </c>
      <c r="C71" s="980"/>
      <c r="D71" s="980"/>
      <c r="E71" s="980"/>
      <c r="F71" s="981">
        <v>1000</v>
      </c>
      <c r="G71" s="984"/>
      <c r="H71" s="980"/>
    </row>
    <row r="72" spans="1:8" ht="12">
      <c r="A72" s="996"/>
      <c r="B72" s="980"/>
      <c r="C72" s="980"/>
      <c r="D72" s="980"/>
      <c r="E72" s="980"/>
      <c r="F72" s="983"/>
      <c r="G72" s="984"/>
      <c r="H72" s="980"/>
    </row>
    <row r="73" spans="1:8" ht="12">
      <c r="A73" s="996" t="s">
        <v>1160</v>
      </c>
      <c r="B73" s="986" t="s">
        <v>1310</v>
      </c>
      <c r="C73" s="980"/>
      <c r="D73" s="980"/>
      <c r="E73" s="980"/>
      <c r="F73" s="981">
        <v>3000</v>
      </c>
      <c r="G73" s="982"/>
      <c r="H73" s="980"/>
    </row>
    <row r="74" spans="2:8" ht="24.75" customHeight="1">
      <c r="B74" s="1405" t="s">
        <v>1392</v>
      </c>
      <c r="C74" s="1405"/>
      <c r="D74" s="1405"/>
      <c r="E74" s="1405"/>
      <c r="F74" s="983"/>
      <c r="G74" s="984"/>
      <c r="H74" s="980"/>
    </row>
    <row r="75" spans="1:8" ht="12">
      <c r="A75" s="996"/>
      <c r="B75" s="980"/>
      <c r="C75" s="980"/>
      <c r="D75" s="980"/>
      <c r="E75" s="980"/>
      <c r="F75" s="983"/>
      <c r="G75" s="984"/>
      <c r="H75" s="980"/>
    </row>
    <row r="76" spans="1:8" ht="12">
      <c r="A76" s="996" t="s">
        <v>1161</v>
      </c>
      <c r="B76" s="986" t="s">
        <v>1162</v>
      </c>
      <c r="C76" s="980"/>
      <c r="D76" s="980"/>
      <c r="E76" s="980"/>
      <c r="F76" s="981">
        <v>310</v>
      </c>
      <c r="G76" s="982"/>
      <c r="H76" s="980"/>
    </row>
    <row r="77" spans="2:8" ht="29.25" customHeight="1">
      <c r="B77" s="1398" t="s">
        <v>1218</v>
      </c>
      <c r="C77" s="1398"/>
      <c r="D77" s="1398"/>
      <c r="E77" s="1398"/>
      <c r="F77" s="983"/>
      <c r="G77" s="984"/>
      <c r="H77" s="980"/>
    </row>
    <row r="78" spans="1:8" ht="12">
      <c r="A78" s="996"/>
      <c r="B78" s="980"/>
      <c r="C78" s="980"/>
      <c r="D78" s="980"/>
      <c r="E78" s="980"/>
      <c r="F78" s="983"/>
      <c r="G78" s="984"/>
      <c r="H78" s="980"/>
    </row>
    <row r="79" spans="1:8" ht="12">
      <c r="A79" s="996" t="s">
        <v>1163</v>
      </c>
      <c r="B79" s="986" t="s">
        <v>1164</v>
      </c>
      <c r="C79" s="980"/>
      <c r="D79" s="980"/>
      <c r="E79" s="980"/>
      <c r="F79" s="981">
        <f>3100+837</f>
        <v>3937</v>
      </c>
      <c r="G79" s="982"/>
      <c r="H79" s="980"/>
    </row>
    <row r="80" spans="1:8" ht="12">
      <c r="A80" s="996"/>
      <c r="B80" s="980"/>
      <c r="C80" s="980"/>
      <c r="D80" s="980"/>
      <c r="E80" s="980"/>
      <c r="F80" s="983"/>
      <c r="G80" s="984"/>
      <c r="H80" s="980"/>
    </row>
    <row r="81" spans="1:8" ht="12">
      <c r="A81" s="996" t="s">
        <v>1165</v>
      </c>
      <c r="B81" s="986" t="s">
        <v>1166</v>
      </c>
      <c r="C81" s="980"/>
      <c r="D81" s="980"/>
      <c r="E81" s="980"/>
      <c r="F81" s="981">
        <f>+F82+F83</f>
        <v>21700</v>
      </c>
      <c r="G81" s="982"/>
      <c r="H81" s="980"/>
    </row>
    <row r="82" spans="1:8" ht="12">
      <c r="A82" s="996"/>
      <c r="B82" s="980"/>
      <c r="C82" s="977" t="s">
        <v>1167</v>
      </c>
      <c r="D82" s="980"/>
      <c r="E82" s="980"/>
      <c r="F82" s="983">
        <v>9000</v>
      </c>
      <c r="G82" s="984"/>
      <c r="H82" s="980"/>
    </row>
    <row r="83" spans="1:8" ht="12">
      <c r="A83" s="996"/>
      <c r="B83" s="980"/>
      <c r="C83" s="977" t="s">
        <v>1297</v>
      </c>
      <c r="D83" s="980"/>
      <c r="E83" s="980"/>
      <c r="F83" s="983">
        <f>10000*1.27</f>
        <v>12700</v>
      </c>
      <c r="G83" s="984"/>
      <c r="H83" s="980"/>
    </row>
    <row r="84" spans="1:8" ht="12">
      <c r="A84" s="996"/>
      <c r="B84" s="980"/>
      <c r="C84" s="980"/>
      <c r="D84" s="980"/>
      <c r="E84" s="980"/>
      <c r="F84" s="983"/>
      <c r="G84" s="984"/>
      <c r="H84" s="980"/>
    </row>
    <row r="85" spans="1:8" ht="12">
      <c r="A85" s="996" t="s">
        <v>1168</v>
      </c>
      <c r="B85" s="986" t="s">
        <v>1169</v>
      </c>
      <c r="C85" s="980"/>
      <c r="D85" s="980"/>
      <c r="E85" s="980"/>
      <c r="F85" s="981">
        <f>+F86</f>
        <v>0</v>
      </c>
      <c r="G85" s="984"/>
      <c r="H85" s="980"/>
    </row>
    <row r="86" spans="1:8" ht="12">
      <c r="A86" s="996"/>
      <c r="B86" s="1400" t="s">
        <v>1170</v>
      </c>
      <c r="C86" s="1400"/>
      <c r="D86" s="1400"/>
      <c r="E86" s="1400"/>
      <c r="F86" s="977">
        <v>0</v>
      </c>
      <c r="G86" s="982"/>
      <c r="H86" s="980"/>
    </row>
    <row r="87" spans="2:8" ht="12">
      <c r="B87" s="1400" t="s">
        <v>1171</v>
      </c>
      <c r="C87" s="1400"/>
      <c r="D87" s="1400"/>
      <c r="E87" s="1400"/>
      <c r="F87" s="983"/>
      <c r="G87" s="984"/>
      <c r="H87" s="980"/>
    </row>
    <row r="88" spans="1:8" ht="12">
      <c r="A88" s="996"/>
      <c r="B88" s="980"/>
      <c r="C88" s="980"/>
      <c r="D88" s="980"/>
      <c r="E88" s="980"/>
      <c r="F88" s="983"/>
      <c r="G88" s="984"/>
      <c r="H88" s="980"/>
    </row>
    <row r="89" spans="1:8" ht="12">
      <c r="A89" s="996" t="s">
        <v>1172</v>
      </c>
      <c r="B89" s="986" t="s">
        <v>1173</v>
      </c>
      <c r="C89" s="980"/>
      <c r="D89" s="980"/>
      <c r="E89" s="980"/>
      <c r="F89" s="981">
        <f>+F90</f>
        <v>0</v>
      </c>
      <c r="G89" s="984"/>
      <c r="H89" s="980"/>
    </row>
    <row r="90" spans="1:8" ht="12.75" customHeight="1">
      <c r="A90" s="996"/>
      <c r="B90" s="1403" t="s">
        <v>38</v>
      </c>
      <c r="C90" s="1403"/>
      <c r="D90" s="1403"/>
      <c r="E90" s="1403"/>
      <c r="F90" s="983"/>
      <c r="G90" s="984"/>
      <c r="H90" s="980"/>
    </row>
    <row r="91" spans="1:8" ht="12.75" customHeight="1">
      <c r="A91" s="996"/>
      <c r="B91" s="1111"/>
      <c r="C91" s="1111"/>
      <c r="D91" s="1111"/>
      <c r="E91" s="1111"/>
      <c r="F91" s="983"/>
      <c r="G91" s="984"/>
      <c r="H91" s="980"/>
    </row>
    <row r="92" spans="1:8" ht="12.75" customHeight="1">
      <c r="A92" s="996"/>
      <c r="D92" s="1398"/>
      <c r="E92" s="1398"/>
      <c r="F92" s="983"/>
      <c r="G92" s="984"/>
      <c r="H92" s="980"/>
    </row>
    <row r="93" spans="1:8" ht="12">
      <c r="A93" s="1112" t="s">
        <v>1214</v>
      </c>
      <c r="B93" s="986" t="s">
        <v>1215</v>
      </c>
      <c r="C93" s="986"/>
      <c r="D93" s="980"/>
      <c r="E93" s="1113"/>
      <c r="F93" s="1114"/>
      <c r="G93" s="982"/>
      <c r="H93" s="980"/>
    </row>
    <row r="94" spans="1:8" ht="12">
      <c r="A94" s="996"/>
      <c r="B94" s="986" t="s">
        <v>1174</v>
      </c>
      <c r="C94" s="980"/>
      <c r="D94" s="980"/>
      <c r="E94" s="980"/>
      <c r="F94" s="1115">
        <f>F95+F96+F97+F98+F99</f>
        <v>7110</v>
      </c>
      <c r="G94" s="1116"/>
      <c r="H94" s="980"/>
    </row>
    <row r="95" spans="1:8" ht="12">
      <c r="A95" s="996"/>
      <c r="B95" s="980"/>
      <c r="C95" s="977" t="s">
        <v>1175</v>
      </c>
      <c r="D95" s="980"/>
      <c r="E95" s="980"/>
      <c r="F95" s="983">
        <f>5999+180</f>
        <v>6179</v>
      </c>
      <c r="G95" s="984"/>
      <c r="H95" s="980"/>
    </row>
    <row r="96" spans="1:8" ht="12">
      <c r="A96" s="996"/>
      <c r="B96" s="980"/>
      <c r="C96" s="977" t="s">
        <v>1176</v>
      </c>
      <c r="D96" s="980"/>
      <c r="E96" s="980"/>
      <c r="F96" s="983">
        <v>180</v>
      </c>
      <c r="G96" s="984"/>
      <c r="H96" s="980"/>
    </row>
    <row r="97" spans="1:8" ht="24">
      <c r="A97" s="996"/>
      <c r="B97" s="980"/>
      <c r="C97" s="977" t="s">
        <v>1177</v>
      </c>
      <c r="D97" s="980"/>
      <c r="E97" s="980" t="s">
        <v>1178</v>
      </c>
      <c r="F97" s="983">
        <v>126</v>
      </c>
      <c r="G97" s="984"/>
      <c r="H97" s="980"/>
    </row>
    <row r="98" spans="1:8" ht="12">
      <c r="A98" s="996"/>
      <c r="B98" s="980"/>
      <c r="C98" s="977" t="s">
        <v>1179</v>
      </c>
      <c r="D98" s="980"/>
      <c r="E98" s="980"/>
      <c r="F98" s="983">
        <v>600</v>
      </c>
      <c r="G98" s="984"/>
      <c r="H98" s="980"/>
    </row>
    <row r="99" spans="1:8" ht="12">
      <c r="A99" s="996"/>
      <c r="B99" s="980"/>
      <c r="C99" s="977" t="s">
        <v>1298</v>
      </c>
      <c r="D99" s="980"/>
      <c r="E99" s="980"/>
      <c r="F99" s="983">
        <v>25</v>
      </c>
      <c r="G99" s="984"/>
      <c r="H99" s="980"/>
    </row>
    <row r="100" spans="1:8" ht="12">
      <c r="A100" s="996"/>
      <c r="B100" s="980"/>
      <c r="D100" s="980"/>
      <c r="E100" s="980"/>
      <c r="F100" s="983"/>
      <c r="G100" s="984"/>
      <c r="H100" s="980"/>
    </row>
    <row r="101" spans="1:8" ht="12">
      <c r="A101" s="996"/>
      <c r="B101" s="986" t="s">
        <v>1180</v>
      </c>
      <c r="C101" s="980"/>
      <c r="D101" s="980"/>
      <c r="E101" s="980"/>
      <c r="F101" s="1115">
        <f>F107+F102</f>
        <v>7110</v>
      </c>
      <c r="G101" s="1116"/>
      <c r="H101" s="980"/>
    </row>
    <row r="102" spans="1:8" ht="12">
      <c r="A102" s="996"/>
      <c r="B102" s="980"/>
      <c r="C102" s="985" t="s">
        <v>1181</v>
      </c>
      <c r="D102" s="980"/>
      <c r="E102" s="980"/>
      <c r="F102" s="983">
        <f>SUM(F103:F106)</f>
        <v>5310</v>
      </c>
      <c r="G102" s="984"/>
      <c r="H102" s="980"/>
    </row>
    <row r="103" spans="1:8" ht="12">
      <c r="A103" s="996"/>
      <c r="B103" s="980"/>
      <c r="C103" s="980"/>
      <c r="D103" s="977" t="s">
        <v>1182</v>
      </c>
      <c r="E103" s="980"/>
      <c r="F103" s="983">
        <v>88</v>
      </c>
      <c r="G103" s="984"/>
      <c r="H103" s="980"/>
    </row>
    <row r="104" spans="1:8" ht="12">
      <c r="A104" s="996"/>
      <c r="B104" s="980"/>
      <c r="C104" s="980"/>
      <c r="D104" s="977" t="s">
        <v>1183</v>
      </c>
      <c r="E104" s="980"/>
      <c r="F104" s="983">
        <v>461</v>
      </c>
      <c r="G104" s="984"/>
      <c r="H104" s="980"/>
    </row>
    <row r="105" spans="1:8" ht="12">
      <c r="A105" s="996"/>
      <c r="B105" s="980"/>
      <c r="C105" s="980"/>
      <c r="D105" s="977" t="s">
        <v>1184</v>
      </c>
      <c r="E105" s="980"/>
      <c r="F105" s="983">
        <v>2334</v>
      </c>
      <c r="G105" s="984"/>
      <c r="H105" s="980"/>
    </row>
    <row r="106" spans="1:8" ht="12">
      <c r="A106" s="996"/>
      <c r="B106" s="980"/>
      <c r="C106" s="980"/>
      <c r="D106" s="977" t="s">
        <v>1185</v>
      </c>
      <c r="E106" s="980"/>
      <c r="F106" s="983">
        <f>2222+25+180</f>
        <v>2427</v>
      </c>
      <c r="G106" s="984"/>
      <c r="H106" s="980"/>
    </row>
    <row r="107" spans="1:8" ht="12">
      <c r="A107" s="996"/>
      <c r="B107" s="980"/>
      <c r="C107" s="977" t="s">
        <v>1186</v>
      </c>
      <c r="D107" s="980"/>
      <c r="E107" s="980"/>
      <c r="F107" s="983">
        <v>1800</v>
      </c>
      <c r="G107" s="984"/>
      <c r="H107" s="980"/>
    </row>
    <row r="108" spans="1:8" ht="12">
      <c r="A108" s="996"/>
      <c r="B108" s="986"/>
      <c r="C108" s="980"/>
      <c r="D108" s="980"/>
      <c r="E108" s="980"/>
      <c r="F108" s="983"/>
      <c r="G108" s="984"/>
      <c r="H108" s="980"/>
    </row>
    <row r="109" spans="1:8" ht="12">
      <c r="A109" s="994" t="s">
        <v>3</v>
      </c>
      <c r="B109" s="986" t="s">
        <v>1216</v>
      </c>
      <c r="C109" s="987"/>
      <c r="D109" s="980"/>
      <c r="E109" s="980"/>
      <c r="F109" s="1117">
        <f>+F110+F111</f>
        <v>2540</v>
      </c>
      <c r="G109" s="984"/>
      <c r="H109" s="980"/>
    </row>
    <row r="110" spans="1:8" ht="12">
      <c r="A110" s="996"/>
      <c r="B110" s="977" t="s">
        <v>1295</v>
      </c>
      <c r="C110" s="980"/>
      <c r="D110" s="980"/>
      <c r="E110" s="980"/>
      <c r="F110" s="1118">
        <v>1270</v>
      </c>
      <c r="G110" s="1119"/>
      <c r="H110" s="980"/>
    </row>
    <row r="111" spans="1:8" ht="12">
      <c r="A111" s="996"/>
      <c r="B111" s="977" t="s">
        <v>1323</v>
      </c>
      <c r="D111" s="980"/>
      <c r="E111" s="980"/>
      <c r="F111" s="983">
        <v>1270</v>
      </c>
      <c r="G111" s="984"/>
      <c r="H111" s="980"/>
    </row>
    <row r="112" spans="1:8" ht="12">
      <c r="A112" s="996"/>
      <c r="B112" s="980"/>
      <c r="C112" s="980"/>
      <c r="D112" s="980"/>
      <c r="E112" s="980"/>
      <c r="F112" s="983"/>
      <c r="G112" s="984"/>
      <c r="H112" s="980"/>
    </row>
  </sheetData>
  <sheetProtection/>
  <mergeCells count="33">
    <mergeCell ref="A3:F3"/>
    <mergeCell ref="B74:E74"/>
    <mergeCell ref="B77:E77"/>
    <mergeCell ref="B86:E86"/>
    <mergeCell ref="B87:E87"/>
    <mergeCell ref="B40:E40"/>
    <mergeCell ref="B41:E41"/>
    <mergeCell ref="B44:E44"/>
    <mergeCell ref="B47:E47"/>
    <mergeCell ref="B50:E50"/>
    <mergeCell ref="B90:E90"/>
    <mergeCell ref="D92:E92"/>
    <mergeCell ref="B52:E52"/>
    <mergeCell ref="B53:E53"/>
    <mergeCell ref="B66:E66"/>
    <mergeCell ref="B69:E69"/>
    <mergeCell ref="B51:E51"/>
    <mergeCell ref="B32:E32"/>
    <mergeCell ref="B33:E33"/>
    <mergeCell ref="B34:E34"/>
    <mergeCell ref="B35:E35"/>
    <mergeCell ref="B36:E36"/>
    <mergeCell ref="B39:E39"/>
    <mergeCell ref="B20:E20"/>
    <mergeCell ref="B23:E23"/>
    <mergeCell ref="B26:E26"/>
    <mergeCell ref="B29:E29"/>
    <mergeCell ref="B8:E8"/>
    <mergeCell ref="B10:E10"/>
    <mergeCell ref="B12:E12"/>
    <mergeCell ref="B14:E14"/>
    <mergeCell ref="B16:E16"/>
    <mergeCell ref="B18:E18"/>
  </mergeCells>
  <printOptions/>
  <pageMargins left="0.7086614173228347" right="0.7086614173228347" top="0.7480314960629921" bottom="0.7480314960629921" header="0.31496062992125984" footer="0.31496062992125984"/>
  <pageSetup fitToHeight="2" fitToWidth="0" horizontalDpi="300" verticalDpi="300" orientation="portrait" paperSize="9" scale="6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F50"/>
  <sheetViews>
    <sheetView tabSelected="1" zoomScalePageLayoutView="0" workbookViewId="0" topLeftCell="A1">
      <selection activeCell="F1" sqref="F1"/>
    </sheetView>
  </sheetViews>
  <sheetFormatPr defaultColWidth="10.25390625" defaultRowHeight="12.75"/>
  <cols>
    <col min="1" max="1" width="4.75390625" style="209" bestFit="1" customWidth="1"/>
    <col min="2" max="2" width="74.375" style="209" customWidth="1"/>
    <col min="3" max="3" width="9.00390625" style="209" customWidth="1"/>
    <col min="4" max="6" width="8.25390625" style="209" customWidth="1"/>
    <col min="7" max="16384" width="10.25390625" style="209" customWidth="1"/>
  </cols>
  <sheetData>
    <row r="1" s="208" customFormat="1" ht="15.75">
      <c r="F1" s="223" t="s">
        <v>1423</v>
      </c>
    </row>
    <row r="2" s="208" customFormat="1" ht="15.75">
      <c r="F2" s="223"/>
    </row>
    <row r="3" spans="1:6" s="1041" customFormat="1" ht="32.25" customHeight="1">
      <c r="A3" s="1406" t="s">
        <v>1195</v>
      </c>
      <c r="B3" s="1406"/>
      <c r="C3" s="1406"/>
      <c r="D3" s="1406"/>
      <c r="E3" s="1406"/>
      <c r="F3" s="1406"/>
    </row>
    <row r="4" spans="1:6" s="233" customFormat="1" ht="12">
      <c r="A4" s="1037"/>
      <c r="B4" s="1037"/>
      <c r="C4" s="1037"/>
      <c r="D4" s="1037"/>
      <c r="E4" s="1037"/>
      <c r="F4" s="1037"/>
    </row>
    <row r="5" ht="12.75" thickBot="1">
      <c r="F5" s="295" t="s">
        <v>543</v>
      </c>
    </row>
    <row r="6" spans="1:6" ht="12">
      <c r="A6" s="1407" t="s">
        <v>17</v>
      </c>
      <c r="B6" s="1409" t="s">
        <v>7</v>
      </c>
      <c r="C6" s="1411" t="s">
        <v>1133</v>
      </c>
      <c r="D6" s="1412"/>
      <c r="E6" s="1412"/>
      <c r="F6" s="1413"/>
    </row>
    <row r="7" spans="1:6" s="1038" customFormat="1" ht="12.75" thickBot="1">
      <c r="A7" s="1408"/>
      <c r="B7" s="1410"/>
      <c r="C7" s="1016" t="s">
        <v>1134</v>
      </c>
      <c r="D7" s="1017" t="s">
        <v>510</v>
      </c>
      <c r="E7" s="1017" t="s">
        <v>527</v>
      </c>
      <c r="F7" s="1018" t="s">
        <v>544</v>
      </c>
    </row>
    <row r="8" spans="1:6" s="1038" customFormat="1" ht="12.75" thickBot="1">
      <c r="A8" s="291">
        <v>1</v>
      </c>
      <c r="B8" s="290">
        <v>2</v>
      </c>
      <c r="C8" s="291">
        <v>3</v>
      </c>
      <c r="D8" s="297">
        <v>4</v>
      </c>
      <c r="E8" s="297">
        <v>5</v>
      </c>
      <c r="F8" s="290">
        <v>6</v>
      </c>
    </row>
    <row r="9" spans="1:6" s="1038" customFormat="1" ht="12">
      <c r="A9" s="1019" t="s">
        <v>4</v>
      </c>
      <c r="B9" s="300" t="s">
        <v>1273</v>
      </c>
      <c r="C9" s="1020">
        <f>+'5.mell_adósság2014'!C7</f>
        <v>284450</v>
      </c>
      <c r="D9" s="302">
        <f>+'5.mell_adósság2014'!D7</f>
        <v>290992</v>
      </c>
      <c r="E9" s="302">
        <f>+'5.mell_adósság2014'!E7</f>
        <v>298267</v>
      </c>
      <c r="F9" s="1021">
        <f>+'5.mell_adósság2014'!F7</f>
        <v>306022</v>
      </c>
    </row>
    <row r="10" spans="1:6" s="1038" customFormat="1" ht="24">
      <c r="A10" s="1022" t="s">
        <v>5</v>
      </c>
      <c r="B10" s="304" t="s">
        <v>1274</v>
      </c>
      <c r="C10" s="1020">
        <f>+'5.mell_adósság2014'!C8</f>
        <v>244</v>
      </c>
      <c r="D10" s="302">
        <f>+'5.mell_adósság2014'!D8</f>
        <v>0</v>
      </c>
      <c r="E10" s="302">
        <f>+'5.mell_adósság2014'!E8</f>
        <v>0</v>
      </c>
      <c r="F10" s="1021">
        <f>+'5.mell_adósság2014'!F8</f>
        <v>0</v>
      </c>
    </row>
    <row r="11" spans="1:6" s="1038" customFormat="1" ht="12">
      <c r="A11" s="1022" t="s">
        <v>6</v>
      </c>
      <c r="B11" s="304" t="s">
        <v>1275</v>
      </c>
      <c r="C11" s="1020">
        <f>+'5.mell_adósság2014'!C9</f>
        <v>0</v>
      </c>
      <c r="D11" s="302">
        <f>+'5.mell_adósság2014'!D9</f>
        <v>0</v>
      </c>
      <c r="E11" s="302">
        <f>+'5.mell_adósság2014'!E9</f>
        <v>0</v>
      </c>
      <c r="F11" s="1021">
        <f>+'5.mell_adósság2014'!F9</f>
        <v>0</v>
      </c>
    </row>
    <row r="12" spans="1:6" s="1038" customFormat="1" ht="24">
      <c r="A12" s="1022" t="s">
        <v>3</v>
      </c>
      <c r="B12" s="304" t="s">
        <v>1276</v>
      </c>
      <c r="C12" s="1020">
        <f>+'5.mell_adósság2014'!C10</f>
        <v>0</v>
      </c>
      <c r="D12" s="302">
        <f>+'5.mell_adósság2014'!D10</f>
        <v>0</v>
      </c>
      <c r="E12" s="302">
        <f>+'5.mell_adósság2014'!E10</f>
        <v>0</v>
      </c>
      <c r="F12" s="1021">
        <f>+'5.mell_adósság2014'!F10</f>
        <v>0</v>
      </c>
    </row>
    <row r="13" spans="1:6" s="1038" customFormat="1" ht="12">
      <c r="A13" s="1022" t="s">
        <v>16</v>
      </c>
      <c r="B13" s="304" t="s">
        <v>1277</v>
      </c>
      <c r="C13" s="1020">
        <f>+'5.mell_adósság2014'!C11</f>
        <v>3500</v>
      </c>
      <c r="D13" s="302">
        <f>+'5.mell_adósság2014'!D11</f>
        <v>3500</v>
      </c>
      <c r="E13" s="302">
        <f>+'5.mell_adósság2014'!E11</f>
        <v>3500</v>
      </c>
      <c r="F13" s="1021">
        <f>+'5.mell_adósság2014'!F11</f>
        <v>3500</v>
      </c>
    </row>
    <row r="14" spans="1:6" s="1038" customFormat="1" ht="12.75" thickBot="1">
      <c r="A14" s="1022" t="s">
        <v>15</v>
      </c>
      <c r="B14" s="304" t="s">
        <v>558</v>
      </c>
      <c r="C14" s="1020">
        <f>+'5.mell_adósság2014'!C12</f>
        <v>0</v>
      </c>
      <c r="D14" s="302">
        <f>+'5.mell_adósság2014'!D12</f>
        <v>0</v>
      </c>
      <c r="E14" s="302">
        <f>+'5.mell_adósság2014'!E12</f>
        <v>0</v>
      </c>
      <c r="F14" s="1021">
        <f>+'5.mell_adósság2014'!F12</f>
        <v>0</v>
      </c>
    </row>
    <row r="15" spans="1:6" s="1039" customFormat="1" ht="12.75" thickBot="1">
      <c r="A15" s="1023" t="s">
        <v>14</v>
      </c>
      <c r="B15" s="312" t="s">
        <v>1282</v>
      </c>
      <c r="C15" s="1024">
        <f>+C9+C10+C11+C12+C13+C14</f>
        <v>288194</v>
      </c>
      <c r="D15" s="317">
        <f>+D9+D10+D11+D12+D13+D14</f>
        <v>294492</v>
      </c>
      <c r="E15" s="317">
        <f>+E9+E10+E11+E12+E13+E14</f>
        <v>301767</v>
      </c>
      <c r="F15" s="1025">
        <f>+F9+F10+F11+F12+F13+F14</f>
        <v>309522</v>
      </c>
    </row>
    <row r="16" spans="1:6" s="1039" customFormat="1" ht="12.75" thickBot="1">
      <c r="A16" s="1023" t="s">
        <v>13</v>
      </c>
      <c r="B16" s="312" t="s">
        <v>1281</v>
      </c>
      <c r="C16" s="1024">
        <f>+ROUNDDOWN(C15*0.5,0)</f>
        <v>144097</v>
      </c>
      <c r="D16" s="317">
        <f>+ROUNDDOWN(D15*0.5,0)</f>
        <v>147246</v>
      </c>
      <c r="E16" s="317">
        <f>+ROUNDDOWN(E15*0.5,0)</f>
        <v>150883</v>
      </c>
      <c r="F16" s="1025">
        <f>+ROUNDDOWN(F15*0.5,0)</f>
        <v>154761</v>
      </c>
    </row>
    <row r="17" spans="1:6" s="1039" customFormat="1" ht="12.75" thickBot="1">
      <c r="A17" s="1023" t="s">
        <v>12</v>
      </c>
      <c r="B17" s="312" t="s">
        <v>1290</v>
      </c>
      <c r="C17" s="1024">
        <f>+C18+C28+C29+C30+C31+C32+C33+C34+C35</f>
        <v>72020</v>
      </c>
      <c r="D17" s="317">
        <f>+D18+D28+D29+D30+D31+D32+D33+D34+D35</f>
        <v>50000</v>
      </c>
      <c r="E17" s="317">
        <f>+E18+E28+E29+E30+E31+E32+E33+E34+E35</f>
        <v>50000</v>
      </c>
      <c r="F17" s="1025">
        <f>+F18+F28+F29+F30+F31+F32+F33+F34+F35</f>
        <v>0</v>
      </c>
    </row>
    <row r="18" spans="1:6" s="1038" customFormat="1" ht="12">
      <c r="A18" s="1019" t="s">
        <v>11</v>
      </c>
      <c r="B18" s="300" t="s">
        <v>559</v>
      </c>
      <c r="C18" s="1020">
        <f>SUM(C19:C27)</f>
        <v>22020</v>
      </c>
      <c r="D18" s="302">
        <f>SUM(D19:D27)</f>
        <v>0</v>
      </c>
      <c r="E18" s="302">
        <f>SUM(E19:E27)</f>
        <v>0</v>
      </c>
      <c r="F18" s="1021">
        <f>SUM(F19:F27)</f>
        <v>0</v>
      </c>
    </row>
    <row r="19" spans="1:6" s="1040" customFormat="1" ht="12">
      <c r="A19" s="1026"/>
      <c r="B19" s="321" t="s">
        <v>1245</v>
      </c>
      <c r="C19" s="1027">
        <f>+'5.mell_adósság2014'!C17</f>
        <v>0</v>
      </c>
      <c r="D19" s="323">
        <f>+'5.mell_adósság2014'!D17</f>
        <v>0</v>
      </c>
      <c r="E19" s="323">
        <f>+'5.mell_adósság2014'!E17</f>
        <v>0</v>
      </c>
      <c r="F19" s="1028">
        <f>+'5.mell_adósság2014'!F17</f>
        <v>0</v>
      </c>
    </row>
    <row r="20" spans="1:6" s="1040" customFormat="1" ht="12">
      <c r="A20" s="1026"/>
      <c r="B20" s="1107" t="s">
        <v>1243</v>
      </c>
      <c r="C20" s="1027">
        <f>+'5.mell_adósság2014'!C18</f>
        <v>8754</v>
      </c>
      <c r="D20" s="323">
        <f>+'5.mell_adósság2014'!D18</f>
        <v>0</v>
      </c>
      <c r="E20" s="323">
        <f>+'5.mell_adósság2014'!E18</f>
        <v>0</v>
      </c>
      <c r="F20" s="1028">
        <f>+'5.mell_adósság2014'!F18</f>
        <v>0</v>
      </c>
    </row>
    <row r="21" spans="1:6" s="1040" customFormat="1" ht="12">
      <c r="A21" s="1026"/>
      <c r="B21" s="1107" t="s">
        <v>1244</v>
      </c>
      <c r="C21" s="1027">
        <f>+'5.mell_adósság2014'!C19</f>
        <v>0</v>
      </c>
      <c r="D21" s="323">
        <f>+'5.mell_adósság2014'!D19</f>
        <v>0</v>
      </c>
      <c r="E21" s="323">
        <f>+'5.mell_adósság2014'!E19</f>
        <v>0</v>
      </c>
      <c r="F21" s="1028">
        <f>+'5.mell_adósság2014'!F19</f>
        <v>0</v>
      </c>
    </row>
    <row r="22" spans="1:6" s="1040" customFormat="1" ht="12">
      <c r="A22" s="1026"/>
      <c r="B22" s="321" t="s">
        <v>1246</v>
      </c>
      <c r="C22" s="1027">
        <f>+'5.mell_adósság2014'!C20</f>
        <v>0</v>
      </c>
      <c r="D22" s="323">
        <f>+'5.mell_adósság2014'!D20</f>
        <v>0</v>
      </c>
      <c r="E22" s="323">
        <f>+'5.mell_adósság2014'!E20</f>
        <v>0</v>
      </c>
      <c r="F22" s="1028">
        <f>+'5.mell_adósság2014'!F20</f>
        <v>0</v>
      </c>
    </row>
    <row r="23" spans="1:6" s="1040" customFormat="1" ht="12">
      <c r="A23" s="1026"/>
      <c r="B23" s="1107" t="s">
        <v>1243</v>
      </c>
      <c r="C23" s="1027">
        <f>+'5.mell_adósság2014'!C21</f>
        <v>12516</v>
      </c>
      <c r="D23" s="323">
        <f>+'5.mell_adósság2014'!D21</f>
        <v>0</v>
      </c>
      <c r="E23" s="323">
        <f>+'5.mell_adósság2014'!E21</f>
        <v>0</v>
      </c>
      <c r="F23" s="1028">
        <f>+'5.mell_adósság2014'!F21</f>
        <v>0</v>
      </c>
    </row>
    <row r="24" spans="1:6" s="1040" customFormat="1" ht="12">
      <c r="A24" s="1026"/>
      <c r="B24" s="1107" t="s">
        <v>1244</v>
      </c>
      <c r="C24" s="1027">
        <f>+'5.mell_adósság2014'!C22</f>
        <v>0</v>
      </c>
      <c r="D24" s="323">
        <f>+'5.mell_adósság2014'!D22</f>
        <v>0</v>
      </c>
      <c r="E24" s="323">
        <f>+'5.mell_adósság2014'!E22</f>
        <v>0</v>
      </c>
      <c r="F24" s="1028">
        <f>+'5.mell_adósság2014'!F22</f>
        <v>0</v>
      </c>
    </row>
    <row r="25" spans="1:6" s="1040" customFormat="1" ht="12">
      <c r="A25" s="1026"/>
      <c r="B25" s="321" t="s">
        <v>1247</v>
      </c>
      <c r="C25" s="1027">
        <f>+'5.mell_adósság2014'!C23</f>
        <v>0</v>
      </c>
      <c r="D25" s="323">
        <f>+'5.mell_adósság2014'!D23</f>
        <v>0</v>
      </c>
      <c r="E25" s="323">
        <f>+'5.mell_adósság2014'!E23</f>
        <v>0</v>
      </c>
      <c r="F25" s="1028">
        <f>+'5.mell_adósság2014'!F23</f>
        <v>0</v>
      </c>
    </row>
    <row r="26" spans="1:6" s="1040" customFormat="1" ht="12">
      <c r="A26" s="1026"/>
      <c r="B26" s="1107" t="s">
        <v>1243</v>
      </c>
      <c r="C26" s="1027">
        <f>+'5.mell_adósság2014'!C24</f>
        <v>0</v>
      </c>
      <c r="D26" s="323">
        <f>+'5.mell_adósság2014'!D24</f>
        <v>0</v>
      </c>
      <c r="E26" s="323">
        <f>+'5.mell_adósság2014'!E24</f>
        <v>0</v>
      </c>
      <c r="F26" s="1028">
        <f>+'5.mell_adósság2014'!F24</f>
        <v>0</v>
      </c>
    </row>
    <row r="27" spans="1:6" s="1040" customFormat="1" ht="12">
      <c r="A27" s="1026"/>
      <c r="B27" s="1107" t="s">
        <v>1244</v>
      </c>
      <c r="C27" s="1027">
        <f>+'5.mell_adósság2014'!C25</f>
        <v>750</v>
      </c>
      <c r="D27" s="323">
        <f>+'5.mell_adósság2014'!D25</f>
        <v>0</v>
      </c>
      <c r="E27" s="323">
        <f>+'5.mell_adósság2014'!E25</f>
        <v>0</v>
      </c>
      <c r="F27" s="1028">
        <f>+'5.mell_adósság2014'!F25</f>
        <v>0</v>
      </c>
    </row>
    <row r="28" spans="1:6" s="1038" customFormat="1" ht="12">
      <c r="A28" s="1022" t="s">
        <v>10</v>
      </c>
      <c r="B28" s="304" t="s">
        <v>560</v>
      </c>
      <c r="C28" s="1029">
        <f>+'5.mell_adósság2014'!C26</f>
        <v>0</v>
      </c>
      <c r="D28" s="306">
        <f>+'5.mell_adósság2014'!D26</f>
        <v>0</v>
      </c>
      <c r="E28" s="306">
        <f>+'5.mell_adósság2014'!E26</f>
        <v>0</v>
      </c>
      <c r="F28" s="1030">
        <f>+'5.mell_adósság2014'!F26</f>
        <v>0</v>
      </c>
    </row>
    <row r="29" spans="1:6" s="1038" customFormat="1" ht="12">
      <c r="A29" s="1022" t="s">
        <v>9</v>
      </c>
      <c r="B29" s="304" t="s">
        <v>561</v>
      </c>
      <c r="C29" s="1029">
        <f>+'5.mell_adósság2014'!C27</f>
        <v>0</v>
      </c>
      <c r="D29" s="306">
        <f>+'5.mell_adósság2014'!D27</f>
        <v>0</v>
      </c>
      <c r="E29" s="306">
        <f>+'5.mell_adósság2014'!E27</f>
        <v>0</v>
      </c>
      <c r="F29" s="1030">
        <f>+'5.mell_adósság2014'!F27</f>
        <v>0</v>
      </c>
    </row>
    <row r="30" spans="1:6" s="1038" customFormat="1" ht="12">
      <c r="A30" s="1022" t="s">
        <v>73</v>
      </c>
      <c r="B30" s="304" t="s">
        <v>562</v>
      </c>
      <c r="C30" s="1029">
        <f>+'5.mell_adósság2014'!C28</f>
        <v>0</v>
      </c>
      <c r="D30" s="306">
        <f>+'5.mell_adósság2014'!D28</f>
        <v>0</v>
      </c>
      <c r="E30" s="306">
        <f>+'5.mell_adósság2014'!E28</f>
        <v>0</v>
      </c>
      <c r="F30" s="1030">
        <f>+'5.mell_adósság2014'!F28</f>
        <v>0</v>
      </c>
    </row>
    <row r="31" spans="1:6" s="1038" customFormat="1" ht="12">
      <c r="A31" s="1022" t="s">
        <v>72</v>
      </c>
      <c r="B31" s="304" t="s">
        <v>563</v>
      </c>
      <c r="C31" s="1029">
        <f>+'5.mell_adósság2014'!C29</f>
        <v>0</v>
      </c>
      <c r="D31" s="306">
        <f>+'5.mell_adósság2014'!D29</f>
        <v>0</v>
      </c>
      <c r="E31" s="306">
        <f>+'5.mell_adósság2014'!E29</f>
        <v>0</v>
      </c>
      <c r="F31" s="1030">
        <f>+'5.mell_adósság2014'!F29</f>
        <v>0</v>
      </c>
    </row>
    <row r="32" spans="1:6" s="1038" customFormat="1" ht="24">
      <c r="A32" s="1022" t="s">
        <v>71</v>
      </c>
      <c r="B32" s="304" t="s">
        <v>1284</v>
      </c>
      <c r="C32" s="1029">
        <f>+'5.mell_adósság2014'!C30</f>
        <v>0</v>
      </c>
      <c r="D32" s="306">
        <f>+'5.mell_adósság2014'!D30</f>
        <v>0</v>
      </c>
      <c r="E32" s="306">
        <f>+'5.mell_adósság2014'!E30</f>
        <v>0</v>
      </c>
      <c r="F32" s="1030">
        <f>+'5.mell_adósság2014'!F30</f>
        <v>0</v>
      </c>
    </row>
    <row r="33" spans="1:6" s="1038" customFormat="1" ht="12">
      <c r="A33" s="1022" t="s">
        <v>68</v>
      </c>
      <c r="B33" s="304" t="s">
        <v>1283</v>
      </c>
      <c r="C33" s="1029">
        <f>+'5.mell_adósság2014'!C31</f>
        <v>50000</v>
      </c>
      <c r="D33" s="306">
        <f>+'5.mell_adósság2014'!D31</f>
        <v>50000</v>
      </c>
      <c r="E33" s="306">
        <f>+'5.mell_adósság2014'!E31</f>
        <v>50000</v>
      </c>
      <c r="F33" s="1030">
        <f>+'5.mell_adósság2014'!F31</f>
        <v>0</v>
      </c>
    </row>
    <row r="34" spans="1:6" s="1038" customFormat="1" ht="24">
      <c r="A34" s="1022" t="s">
        <v>67</v>
      </c>
      <c r="B34" s="304" t="s">
        <v>1285</v>
      </c>
      <c r="C34" s="1029">
        <f>+'5.mell_adósság2014'!C32</f>
        <v>0</v>
      </c>
      <c r="D34" s="306">
        <f>+'5.mell_adósság2014'!D32</f>
        <v>0</v>
      </c>
      <c r="E34" s="306">
        <f>+'5.mell_adósság2014'!E32</f>
        <v>0</v>
      </c>
      <c r="F34" s="1030">
        <f>+'5.mell_adósság2014'!F32</f>
        <v>0</v>
      </c>
    </row>
    <row r="35" spans="1:6" s="1038" customFormat="1" ht="12.75" thickBot="1">
      <c r="A35" s="1031" t="s">
        <v>66</v>
      </c>
      <c r="B35" s="327" t="s">
        <v>564</v>
      </c>
      <c r="C35" s="1029">
        <f>+'5.mell_adósság2014'!C33</f>
        <v>0</v>
      </c>
      <c r="D35" s="306">
        <f>+'5.mell_adósság2014'!D33</f>
        <v>0</v>
      </c>
      <c r="E35" s="306">
        <f>+'5.mell_adósság2014'!E33</f>
        <v>0</v>
      </c>
      <c r="F35" s="1030">
        <f>+'5.mell_adósság2014'!F33</f>
        <v>0</v>
      </c>
    </row>
    <row r="36" spans="1:6" s="1039" customFormat="1" ht="15" customHeight="1" thickBot="1">
      <c r="A36" s="1023" t="s">
        <v>65</v>
      </c>
      <c r="B36" s="312" t="s">
        <v>1291</v>
      </c>
      <c r="C36" s="1024">
        <f>+C37+C38+C39+C40+C41+C42+C43+C44+C45</f>
        <v>0</v>
      </c>
      <c r="D36" s="317">
        <f>+D37+D38+D39+D40+D41+D42+D43+D44+D45</f>
        <v>0</v>
      </c>
      <c r="E36" s="317">
        <f>+E37+E38+E39+E40+E41+E42+E43+E44+E45</f>
        <v>0</v>
      </c>
      <c r="F36" s="1025">
        <f>+F37+F38+F39+F40+F41+F42+F43+F44+F45</f>
        <v>0</v>
      </c>
    </row>
    <row r="37" spans="1:6" s="1038" customFormat="1" ht="12">
      <c r="A37" s="1019" t="s">
        <v>64</v>
      </c>
      <c r="B37" s="300" t="s">
        <v>559</v>
      </c>
      <c r="C37" s="1020">
        <f>+'5.mell_adósság2014'!C35</f>
        <v>0</v>
      </c>
      <c r="D37" s="302">
        <f>+'5.mell_adósság2014'!D35</f>
        <v>0</v>
      </c>
      <c r="E37" s="302">
        <f>+'5.mell_adósság2014'!E35</f>
        <v>0</v>
      </c>
      <c r="F37" s="1021">
        <f>+'5.mell_adósság2014'!F35</f>
        <v>0</v>
      </c>
    </row>
    <row r="38" spans="1:6" ht="12">
      <c r="A38" s="1022" t="s">
        <v>63</v>
      </c>
      <c r="B38" s="304" t="s">
        <v>560</v>
      </c>
      <c r="C38" s="1029">
        <f>+'5.mell_adósság2014'!C36</f>
        <v>0</v>
      </c>
      <c r="D38" s="306">
        <f>+'5.mell_adósság2014'!D36</f>
        <v>0</v>
      </c>
      <c r="E38" s="306">
        <f>+'5.mell_adósság2014'!E36</f>
        <v>0</v>
      </c>
      <c r="F38" s="1030">
        <f>+'5.mell_adósság2014'!F36</f>
        <v>0</v>
      </c>
    </row>
    <row r="39" spans="1:6" ht="12">
      <c r="A39" s="1022" t="s">
        <v>62</v>
      </c>
      <c r="B39" s="304" t="s">
        <v>561</v>
      </c>
      <c r="C39" s="1029">
        <f>+'5.mell_adósság2014'!C37</f>
        <v>0</v>
      </c>
      <c r="D39" s="306">
        <f>+'5.mell_adósság2014'!D37</f>
        <v>0</v>
      </c>
      <c r="E39" s="306">
        <f>+'5.mell_adósság2014'!E37</f>
        <v>0</v>
      </c>
      <c r="F39" s="1030">
        <f>+'5.mell_adósság2014'!F37</f>
        <v>0</v>
      </c>
    </row>
    <row r="40" spans="1:6" s="1038" customFormat="1" ht="12">
      <c r="A40" s="1022" t="s">
        <v>61</v>
      </c>
      <c r="B40" s="304" t="s">
        <v>562</v>
      </c>
      <c r="C40" s="1029">
        <f>+'5.mell_adósság2014'!C38</f>
        <v>0</v>
      </c>
      <c r="D40" s="306">
        <f>+'5.mell_adósság2014'!D38</f>
        <v>0</v>
      </c>
      <c r="E40" s="306">
        <f>+'5.mell_adósság2014'!E38</f>
        <v>0</v>
      </c>
      <c r="F40" s="1030">
        <f>+'5.mell_adósság2014'!F38</f>
        <v>0</v>
      </c>
    </row>
    <row r="41" spans="1:6" ht="12">
      <c r="A41" s="1022" t="s">
        <v>565</v>
      </c>
      <c r="B41" s="304" t="s">
        <v>563</v>
      </c>
      <c r="C41" s="1029">
        <f>+'5.mell_adósság2014'!C39</f>
        <v>0</v>
      </c>
      <c r="D41" s="306">
        <f>+'5.mell_adósság2014'!D39</f>
        <v>0</v>
      </c>
      <c r="E41" s="306">
        <f>+'5.mell_adósság2014'!E39</f>
        <v>0</v>
      </c>
      <c r="F41" s="1030">
        <f>+'5.mell_adósság2014'!F39</f>
        <v>0</v>
      </c>
    </row>
    <row r="42" spans="1:6" ht="24">
      <c r="A42" s="1022" t="s">
        <v>566</v>
      </c>
      <c r="B42" s="304" t="s">
        <v>1284</v>
      </c>
      <c r="C42" s="1029">
        <f>+'5.mell_adósság2014'!C40</f>
        <v>0</v>
      </c>
      <c r="D42" s="306">
        <f>+'5.mell_adósság2014'!D40</f>
        <v>0</v>
      </c>
      <c r="E42" s="306">
        <f>+'5.mell_adósság2014'!E40</f>
        <v>0</v>
      </c>
      <c r="F42" s="1030">
        <f>+'5.mell_adósság2014'!F40</f>
        <v>0</v>
      </c>
    </row>
    <row r="43" spans="1:6" ht="12">
      <c r="A43" s="1022" t="s">
        <v>567</v>
      </c>
      <c r="B43" s="304" t="s">
        <v>1283</v>
      </c>
      <c r="C43" s="1029">
        <f>+'5.mell_adósság2014'!C41</f>
        <v>0</v>
      </c>
      <c r="D43" s="306">
        <f>+'5.mell_adósság2014'!D41</f>
        <v>0</v>
      </c>
      <c r="E43" s="306">
        <f>+'5.mell_adósság2014'!E41</f>
        <v>0</v>
      </c>
      <c r="F43" s="1030">
        <f>+'5.mell_adósság2014'!F41</f>
        <v>0</v>
      </c>
    </row>
    <row r="44" spans="1:6" ht="24">
      <c r="A44" s="1022" t="s">
        <v>568</v>
      </c>
      <c r="B44" s="304" t="s">
        <v>1285</v>
      </c>
      <c r="C44" s="1029">
        <f>+'5.mell_adósság2014'!C42</f>
        <v>0</v>
      </c>
      <c r="D44" s="306">
        <f>+'5.mell_adósság2014'!D42</f>
        <v>0</v>
      </c>
      <c r="E44" s="306">
        <f>+'5.mell_adósság2014'!E42</f>
        <v>0</v>
      </c>
      <c r="F44" s="1030">
        <f>+'5.mell_adósság2014'!F42</f>
        <v>0</v>
      </c>
    </row>
    <row r="45" spans="1:6" ht="12.75" thickBot="1">
      <c r="A45" s="1031" t="s">
        <v>601</v>
      </c>
      <c r="B45" s="327" t="s">
        <v>564</v>
      </c>
      <c r="C45" s="1033">
        <f>+'5.mell_adósság2014'!C43</f>
        <v>0</v>
      </c>
      <c r="D45" s="310">
        <f>+'5.mell_adósság2014'!D43</f>
        <v>0</v>
      </c>
      <c r="E45" s="310">
        <f>+'5.mell_adósság2014'!E43</f>
        <v>0</v>
      </c>
      <c r="F45" s="1032">
        <f>+'5.mell_adósság2014'!F43</f>
        <v>0</v>
      </c>
    </row>
    <row r="46" spans="1:6" s="233" customFormat="1" ht="12.75" thickBot="1">
      <c r="A46" s="1023" t="s">
        <v>603</v>
      </c>
      <c r="B46" s="312" t="s">
        <v>1288</v>
      </c>
      <c r="C46" s="1024">
        <f>+C17+C36</f>
        <v>72020</v>
      </c>
      <c r="D46" s="317">
        <f>+D17+D36</f>
        <v>50000</v>
      </c>
      <c r="E46" s="317">
        <f>+E17+E36</f>
        <v>50000</v>
      </c>
      <c r="F46" s="1025">
        <f>+F17+F36</f>
        <v>0</v>
      </c>
    </row>
    <row r="47" spans="1:6" s="233" customFormat="1" ht="12.75" thickBot="1">
      <c r="A47" s="1034" t="s">
        <v>604</v>
      </c>
      <c r="B47" s="329" t="s">
        <v>1289</v>
      </c>
      <c r="C47" s="1035">
        <f>+C16-C46</f>
        <v>72077</v>
      </c>
      <c r="D47" s="331">
        <f>+D16-D46</f>
        <v>97246</v>
      </c>
      <c r="E47" s="331">
        <f>+E16-E46</f>
        <v>100883</v>
      </c>
      <c r="F47" s="1036">
        <f>+F16-F46</f>
        <v>154761</v>
      </c>
    </row>
    <row r="49" spans="3:6" ht="12" hidden="1">
      <c r="C49" s="337">
        <f>+'5.mell_adósság2014'!C45</f>
        <v>72077</v>
      </c>
      <c r="D49" s="337">
        <f>+'5.mell_adósság2014'!D45</f>
        <v>97246</v>
      </c>
      <c r="E49" s="337">
        <f>+'5.mell_adósság2014'!E45</f>
        <v>100883</v>
      </c>
      <c r="F49" s="337">
        <f>+'5.mell_adósság2014'!F45</f>
        <v>154761</v>
      </c>
    </row>
    <row r="50" spans="3:6" ht="12" hidden="1">
      <c r="C50" s="337">
        <f>+C47-C49</f>
        <v>0</v>
      </c>
      <c r="D50" s="337">
        <f>+D47-D49</f>
        <v>0</v>
      </c>
      <c r="E50" s="337">
        <f>+E47-E49</f>
        <v>0</v>
      </c>
      <c r="F50" s="337">
        <f>+F47-F49</f>
        <v>0</v>
      </c>
    </row>
  </sheetData>
  <sheetProtection/>
  <mergeCells count="4">
    <mergeCell ref="A3:F3"/>
    <mergeCell ref="A6:A7"/>
    <mergeCell ref="B6:B7"/>
    <mergeCell ref="C6:F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8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K29"/>
  <sheetViews>
    <sheetView zoomScalePageLayoutView="0" workbookViewId="0" topLeftCell="A1">
      <selection activeCell="A1" sqref="A1:AW1"/>
    </sheetView>
  </sheetViews>
  <sheetFormatPr defaultColWidth="9.00390625" defaultRowHeight="12.75"/>
  <cols>
    <col min="1" max="1" width="43.625" style="1" customWidth="1"/>
    <col min="2" max="2" width="14.875" style="1" customWidth="1"/>
    <col min="3" max="4" width="14.75390625" style="1" customWidth="1"/>
    <col min="5" max="11" width="14.25390625" style="1" customWidth="1"/>
    <col min="12" max="16384" width="9.125" style="1" customWidth="1"/>
  </cols>
  <sheetData>
    <row r="1" spans="1:11" ht="24" customHeight="1">
      <c r="A1" s="1417" t="s">
        <v>37</v>
      </c>
      <c r="B1" s="1417"/>
      <c r="C1" s="1417"/>
      <c r="D1" s="1417"/>
      <c r="E1" s="1417"/>
      <c r="F1" s="1417"/>
      <c r="G1" s="1417"/>
      <c r="H1" s="1417"/>
      <c r="I1" s="1417"/>
      <c r="J1" s="1417"/>
      <c r="K1" s="1417"/>
    </row>
    <row r="2" spans="1:11" ht="13.5" thickBot="1">
      <c r="A2" s="23"/>
      <c r="B2" s="23"/>
      <c r="C2" s="23"/>
      <c r="D2" s="23"/>
      <c r="E2" s="23"/>
      <c r="F2" s="23"/>
      <c r="G2" s="23"/>
      <c r="H2" s="23"/>
      <c r="I2" s="23"/>
      <c r="J2" s="23"/>
      <c r="K2" s="22" t="s">
        <v>36</v>
      </c>
    </row>
    <row r="3" spans="1:11" ht="38.25" customHeight="1">
      <c r="A3" s="1421" t="s">
        <v>7</v>
      </c>
      <c r="B3" s="1425" t="s">
        <v>22</v>
      </c>
      <c r="C3" s="1426"/>
      <c r="D3" s="1427"/>
      <c r="E3" s="1425" t="s">
        <v>21</v>
      </c>
      <c r="F3" s="1426"/>
      <c r="G3" s="1427"/>
      <c r="H3" s="1425" t="s">
        <v>20</v>
      </c>
      <c r="I3" s="1426"/>
      <c r="J3" s="1427"/>
      <c r="K3" s="1423" t="s">
        <v>18</v>
      </c>
    </row>
    <row r="4" spans="1:11" ht="32.25" thickBot="1">
      <c r="A4" s="1422"/>
      <c r="B4" s="21" t="s">
        <v>35</v>
      </c>
      <c r="C4" s="21" t="s">
        <v>34</v>
      </c>
      <c r="D4" s="21" t="s">
        <v>18</v>
      </c>
      <c r="E4" s="21" t="s">
        <v>35</v>
      </c>
      <c r="F4" s="21" t="s">
        <v>34</v>
      </c>
      <c r="G4" s="21" t="s">
        <v>18</v>
      </c>
      <c r="H4" s="21" t="s">
        <v>35</v>
      </c>
      <c r="I4" s="21" t="s">
        <v>34</v>
      </c>
      <c r="J4" s="21" t="s">
        <v>18</v>
      </c>
      <c r="K4" s="1424"/>
    </row>
    <row r="5" spans="1:11" ht="16.5" thickTop="1">
      <c r="A5" s="20" t="s">
        <v>33</v>
      </c>
      <c r="B5" s="16"/>
      <c r="C5" s="16"/>
      <c r="D5" s="16"/>
      <c r="E5" s="16"/>
      <c r="F5" s="16"/>
      <c r="G5" s="16"/>
      <c r="H5" s="16"/>
      <c r="I5" s="16"/>
      <c r="J5" s="14"/>
      <c r="K5" s="13"/>
    </row>
    <row r="6" spans="1:11" ht="15.75">
      <c r="A6" s="19" t="s">
        <v>32</v>
      </c>
      <c r="B6" s="18"/>
      <c r="C6" s="18"/>
      <c r="D6" s="16"/>
      <c r="E6" s="18"/>
      <c r="F6" s="18"/>
      <c r="G6" s="16"/>
      <c r="H6" s="18"/>
      <c r="I6" s="18"/>
      <c r="J6" s="14"/>
      <c r="K6" s="13"/>
    </row>
    <row r="7" spans="1:11" ht="15.75">
      <c r="A7" s="17" t="s">
        <v>31</v>
      </c>
      <c r="B7" s="15"/>
      <c r="C7" s="15"/>
      <c r="D7" s="16"/>
      <c r="E7" s="15"/>
      <c r="F7" s="15"/>
      <c r="G7" s="16"/>
      <c r="H7" s="15"/>
      <c r="I7" s="15"/>
      <c r="J7" s="14"/>
      <c r="K7" s="13"/>
    </row>
    <row r="8" spans="1:11" ht="15.75">
      <c r="A8" s="17" t="s">
        <v>30</v>
      </c>
      <c r="B8" s="15"/>
      <c r="C8" s="15"/>
      <c r="D8" s="16"/>
      <c r="E8" s="15"/>
      <c r="F8" s="15"/>
      <c r="G8" s="16"/>
      <c r="H8" s="15"/>
      <c r="I8" s="15"/>
      <c r="J8" s="14"/>
      <c r="K8" s="13"/>
    </row>
    <row r="9" spans="1:11" ht="15.75">
      <c r="A9" s="17" t="s">
        <v>29</v>
      </c>
      <c r="B9" s="15"/>
      <c r="C9" s="15"/>
      <c r="D9" s="16"/>
      <c r="E9" s="15"/>
      <c r="F9" s="15"/>
      <c r="G9" s="16"/>
      <c r="H9" s="15"/>
      <c r="I9" s="15"/>
      <c r="J9" s="14"/>
      <c r="K9" s="13"/>
    </row>
    <row r="10" spans="1:11" ht="15.75">
      <c r="A10" s="17" t="s">
        <v>28</v>
      </c>
      <c r="B10" s="15"/>
      <c r="C10" s="15"/>
      <c r="D10" s="16"/>
      <c r="E10" s="15"/>
      <c r="F10" s="15"/>
      <c r="G10" s="16"/>
      <c r="H10" s="15"/>
      <c r="I10" s="15"/>
      <c r="J10" s="14"/>
      <c r="K10" s="13"/>
    </row>
    <row r="11" spans="1:11" ht="15.75">
      <c r="A11" s="17" t="s">
        <v>27</v>
      </c>
      <c r="B11" s="15"/>
      <c r="C11" s="15"/>
      <c r="D11" s="16"/>
      <c r="E11" s="15"/>
      <c r="F11" s="15"/>
      <c r="G11" s="16"/>
      <c r="H11" s="15"/>
      <c r="I11" s="15"/>
      <c r="J11" s="14"/>
      <c r="K11" s="13"/>
    </row>
    <row r="12" spans="1:11" ht="15.75">
      <c r="A12" s="17" t="s">
        <v>26</v>
      </c>
      <c r="B12" s="15"/>
      <c r="C12" s="15"/>
      <c r="D12" s="16"/>
      <c r="E12" s="15"/>
      <c r="F12" s="15"/>
      <c r="G12" s="16"/>
      <c r="H12" s="15"/>
      <c r="I12" s="15"/>
      <c r="J12" s="14"/>
      <c r="K12" s="13"/>
    </row>
    <row r="13" spans="1:11" ht="30.75" customHeight="1" thickBot="1">
      <c r="A13" s="12" t="s">
        <v>25</v>
      </c>
      <c r="B13" s="11"/>
      <c r="C13" s="11"/>
      <c r="D13" s="11"/>
      <c r="E13" s="11"/>
      <c r="F13" s="11"/>
      <c r="G13" s="11"/>
      <c r="H13" s="11"/>
      <c r="I13" s="11"/>
      <c r="J13" s="11"/>
      <c r="K13" s="10"/>
    </row>
    <row r="14" spans="1:11" ht="21" customHeight="1">
      <c r="A14" s="9"/>
      <c r="B14" s="8"/>
      <c r="C14" s="8"/>
      <c r="D14" s="8"/>
      <c r="E14" s="8"/>
      <c r="F14" s="8"/>
      <c r="G14" s="8"/>
      <c r="H14" s="8"/>
      <c r="I14" s="8"/>
      <c r="J14" s="8"/>
      <c r="K14" s="8"/>
    </row>
    <row r="16" spans="1:10" ht="48.75" customHeight="1">
      <c r="A16" s="7" t="s">
        <v>24</v>
      </c>
      <c r="B16" s="1418" t="s">
        <v>23</v>
      </c>
      <c r="C16" s="1419"/>
      <c r="D16" s="1420"/>
      <c r="E16" s="6"/>
      <c r="F16" s="6"/>
      <c r="G16" s="6"/>
      <c r="H16" s="6"/>
      <c r="I16" s="6"/>
      <c r="J16" s="6"/>
    </row>
    <row r="17" spans="1:4" ht="15.75">
      <c r="A17" s="5" t="s">
        <v>22</v>
      </c>
      <c r="B17" s="1414"/>
      <c r="C17" s="1415"/>
      <c r="D17" s="1416"/>
    </row>
    <row r="18" spans="1:4" ht="15.75">
      <c r="A18" s="3" t="s">
        <v>19</v>
      </c>
      <c r="B18" s="1414"/>
      <c r="C18" s="1415"/>
      <c r="D18" s="1416"/>
    </row>
    <row r="19" spans="1:4" ht="15.75">
      <c r="A19" s="3" t="s">
        <v>19</v>
      </c>
      <c r="B19" s="1414"/>
      <c r="C19" s="1415"/>
      <c r="D19" s="1416"/>
    </row>
    <row r="20" spans="1:4" ht="15.75">
      <c r="A20" s="3" t="s">
        <v>19</v>
      </c>
      <c r="B20" s="1414"/>
      <c r="C20" s="1415"/>
      <c r="D20" s="1416"/>
    </row>
    <row r="21" spans="1:4" ht="15.75">
      <c r="A21" s="4" t="s">
        <v>21</v>
      </c>
      <c r="B21" s="1414"/>
      <c r="C21" s="1415"/>
      <c r="D21" s="1416"/>
    </row>
    <row r="22" spans="1:4" ht="15.75">
      <c r="A22" s="3" t="s">
        <v>19</v>
      </c>
      <c r="B22" s="1414"/>
      <c r="C22" s="1415"/>
      <c r="D22" s="1416"/>
    </row>
    <row r="23" spans="1:4" ht="15.75">
      <c r="A23" s="3" t="s">
        <v>19</v>
      </c>
      <c r="B23" s="1414"/>
      <c r="C23" s="1415"/>
      <c r="D23" s="1416"/>
    </row>
    <row r="24" spans="1:4" ht="15.75">
      <c r="A24" s="3" t="s">
        <v>19</v>
      </c>
      <c r="B24" s="1414"/>
      <c r="C24" s="1415"/>
      <c r="D24" s="1416"/>
    </row>
    <row r="25" spans="1:4" ht="15.75">
      <c r="A25" s="4" t="s">
        <v>20</v>
      </c>
      <c r="B25" s="1414"/>
      <c r="C25" s="1415"/>
      <c r="D25" s="1416"/>
    </row>
    <row r="26" spans="1:4" ht="15.75">
      <c r="A26" s="3" t="s">
        <v>19</v>
      </c>
      <c r="B26" s="1414"/>
      <c r="C26" s="1415"/>
      <c r="D26" s="1416"/>
    </row>
    <row r="27" spans="1:4" ht="15.75">
      <c r="A27" s="3" t="s">
        <v>19</v>
      </c>
      <c r="B27" s="1414"/>
      <c r="C27" s="1415"/>
      <c r="D27" s="1416"/>
    </row>
    <row r="28" spans="1:4" ht="15.75">
      <c r="A28" s="3" t="s">
        <v>19</v>
      </c>
      <c r="B28" s="1414"/>
      <c r="C28" s="1415"/>
      <c r="D28" s="1416"/>
    </row>
    <row r="29" spans="1:4" ht="15.75">
      <c r="A29" s="2" t="s">
        <v>18</v>
      </c>
      <c r="B29" s="1414"/>
      <c r="C29" s="1415"/>
      <c r="D29" s="1416"/>
    </row>
  </sheetData>
  <sheetProtection/>
  <mergeCells count="20">
    <mergeCell ref="E3:G3"/>
    <mergeCell ref="B29:D29"/>
    <mergeCell ref="B25:D25"/>
    <mergeCell ref="B26:D26"/>
    <mergeCell ref="B27:D27"/>
    <mergeCell ref="B28:D28"/>
    <mergeCell ref="B21:D21"/>
    <mergeCell ref="B22:D22"/>
    <mergeCell ref="B23:D23"/>
    <mergeCell ref="B24:D24"/>
    <mergeCell ref="B20:D20"/>
    <mergeCell ref="A1:K1"/>
    <mergeCell ref="B16:D16"/>
    <mergeCell ref="A3:A4"/>
    <mergeCell ref="K3:K4"/>
    <mergeCell ref="B3:D3"/>
    <mergeCell ref="H3:J3"/>
    <mergeCell ref="B17:D17"/>
    <mergeCell ref="B18:D18"/>
    <mergeCell ref="B19:D19"/>
  </mergeCells>
  <printOptions horizontalCentered="1"/>
  <pageMargins left="0.3937007874015748" right="0.3937007874015748" top="0.5905511811023623" bottom="0" header="0.3937007874015748" footer="0"/>
  <pageSetup fitToHeight="1" fitToWidth="1" horizontalDpi="600" verticalDpi="600" orientation="landscape" paperSize="9" scale="74" r:id="rId1"/>
  <headerFooter alignWithMargins="0">
    <oddHeader>&amp;R&amp;"Arial,Dőlt"&amp;12 3. számú táblázat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K29"/>
  <sheetViews>
    <sheetView zoomScalePageLayoutView="0" workbookViewId="0" topLeftCell="A1">
      <selection activeCell="A1" sqref="A1:AW1"/>
    </sheetView>
  </sheetViews>
  <sheetFormatPr defaultColWidth="9.00390625" defaultRowHeight="12.75"/>
  <cols>
    <col min="1" max="1" width="43.625" style="1" customWidth="1"/>
    <col min="2" max="2" width="14.875" style="1" customWidth="1"/>
    <col min="3" max="4" width="14.75390625" style="1" customWidth="1"/>
    <col min="5" max="11" width="14.25390625" style="1" customWidth="1"/>
    <col min="12" max="16384" width="9.125" style="1" customWidth="1"/>
  </cols>
  <sheetData>
    <row r="1" spans="1:11" ht="24" customHeight="1">
      <c r="A1" s="1417" t="s">
        <v>37</v>
      </c>
      <c r="B1" s="1417"/>
      <c r="C1" s="1417"/>
      <c r="D1" s="1417"/>
      <c r="E1" s="1417"/>
      <c r="F1" s="1417"/>
      <c r="G1" s="1417"/>
      <c r="H1" s="1417"/>
      <c r="I1" s="1417"/>
      <c r="J1" s="1417"/>
      <c r="K1" s="1417"/>
    </row>
    <row r="2" spans="1:11" ht="13.5" thickBot="1">
      <c r="A2" s="23"/>
      <c r="B2" s="23"/>
      <c r="C2" s="23"/>
      <c r="D2" s="23"/>
      <c r="E2" s="23"/>
      <c r="F2" s="23"/>
      <c r="G2" s="23"/>
      <c r="H2" s="23"/>
      <c r="I2" s="23"/>
      <c r="J2" s="23"/>
      <c r="K2" s="22" t="s">
        <v>36</v>
      </c>
    </row>
    <row r="3" spans="1:11" ht="38.25" customHeight="1">
      <c r="A3" s="1421" t="s">
        <v>7</v>
      </c>
      <c r="B3" s="1425" t="s">
        <v>22</v>
      </c>
      <c r="C3" s="1426"/>
      <c r="D3" s="1427"/>
      <c r="E3" s="1425" t="s">
        <v>21</v>
      </c>
      <c r="F3" s="1426"/>
      <c r="G3" s="1427"/>
      <c r="H3" s="1425" t="s">
        <v>20</v>
      </c>
      <c r="I3" s="1426"/>
      <c r="J3" s="1427"/>
      <c r="K3" s="1423" t="s">
        <v>18</v>
      </c>
    </row>
    <row r="4" spans="1:11" ht="32.25" thickBot="1">
      <c r="A4" s="1422"/>
      <c r="B4" s="21" t="s">
        <v>35</v>
      </c>
      <c r="C4" s="21" t="s">
        <v>34</v>
      </c>
      <c r="D4" s="21" t="s">
        <v>18</v>
      </c>
      <c r="E4" s="21" t="s">
        <v>35</v>
      </c>
      <c r="F4" s="21" t="s">
        <v>34</v>
      </c>
      <c r="G4" s="21" t="s">
        <v>18</v>
      </c>
      <c r="H4" s="21" t="s">
        <v>35</v>
      </c>
      <c r="I4" s="21" t="s">
        <v>34</v>
      </c>
      <c r="J4" s="21" t="s">
        <v>18</v>
      </c>
      <c r="K4" s="1424"/>
    </row>
    <row r="5" spans="1:11" ht="16.5" thickTop="1">
      <c r="A5" s="20" t="s">
        <v>33</v>
      </c>
      <c r="B5" s="16"/>
      <c r="C5" s="16"/>
      <c r="D5" s="16"/>
      <c r="E5" s="16"/>
      <c r="F5" s="16"/>
      <c r="G5" s="16"/>
      <c r="H5" s="16"/>
      <c r="I5" s="16"/>
      <c r="J5" s="14"/>
      <c r="K5" s="13"/>
    </row>
    <row r="6" spans="1:11" ht="15.75">
      <c r="A6" s="19" t="s">
        <v>32</v>
      </c>
      <c r="B6" s="18"/>
      <c r="C6" s="18"/>
      <c r="D6" s="16"/>
      <c r="E6" s="18"/>
      <c r="F6" s="18"/>
      <c r="G6" s="16"/>
      <c r="H6" s="18"/>
      <c r="I6" s="18"/>
      <c r="J6" s="14"/>
      <c r="K6" s="13"/>
    </row>
    <row r="7" spans="1:11" ht="15.75">
      <c r="A7" s="17" t="s">
        <v>31</v>
      </c>
      <c r="B7" s="15"/>
      <c r="C7" s="15"/>
      <c r="D7" s="16"/>
      <c r="E7" s="15"/>
      <c r="F7" s="15"/>
      <c r="G7" s="16"/>
      <c r="H7" s="15"/>
      <c r="I7" s="15"/>
      <c r="J7" s="14"/>
      <c r="K7" s="13"/>
    </row>
    <row r="8" spans="1:11" ht="15.75">
      <c r="A8" s="17" t="s">
        <v>30</v>
      </c>
      <c r="B8" s="15"/>
      <c r="C8" s="15"/>
      <c r="D8" s="16"/>
      <c r="E8" s="15"/>
      <c r="F8" s="15"/>
      <c r="G8" s="16"/>
      <c r="H8" s="15"/>
      <c r="I8" s="15"/>
      <c r="J8" s="14"/>
      <c r="K8" s="13"/>
    </row>
    <row r="9" spans="1:11" ht="15.75">
      <c r="A9" s="17" t="s">
        <v>29</v>
      </c>
      <c r="B9" s="15"/>
      <c r="C9" s="15"/>
      <c r="D9" s="16"/>
      <c r="E9" s="15"/>
      <c r="F9" s="15"/>
      <c r="G9" s="16"/>
      <c r="H9" s="15"/>
      <c r="I9" s="15"/>
      <c r="J9" s="14"/>
      <c r="K9" s="13"/>
    </row>
    <row r="10" spans="1:11" ht="15.75">
      <c r="A10" s="17" t="s">
        <v>28</v>
      </c>
      <c r="B10" s="15"/>
      <c r="C10" s="15"/>
      <c r="D10" s="16"/>
      <c r="E10" s="15"/>
      <c r="F10" s="15"/>
      <c r="G10" s="16"/>
      <c r="H10" s="15"/>
      <c r="I10" s="15"/>
      <c r="J10" s="14"/>
      <c r="K10" s="13"/>
    </row>
    <row r="11" spans="1:11" ht="15.75">
      <c r="A11" s="17" t="s">
        <v>27</v>
      </c>
      <c r="B11" s="15"/>
      <c r="C11" s="15"/>
      <c r="D11" s="16"/>
      <c r="E11" s="15"/>
      <c r="F11" s="15"/>
      <c r="G11" s="16"/>
      <c r="H11" s="15"/>
      <c r="I11" s="15"/>
      <c r="J11" s="14"/>
      <c r="K11" s="13"/>
    </row>
    <row r="12" spans="1:11" ht="15.75">
      <c r="A12" s="17" t="s">
        <v>26</v>
      </c>
      <c r="B12" s="15"/>
      <c r="C12" s="15"/>
      <c r="D12" s="16"/>
      <c r="E12" s="15"/>
      <c r="F12" s="15"/>
      <c r="G12" s="16"/>
      <c r="H12" s="15"/>
      <c r="I12" s="15"/>
      <c r="J12" s="14"/>
      <c r="K12" s="13"/>
    </row>
    <row r="13" spans="1:11" ht="30.75" customHeight="1" thickBot="1">
      <c r="A13" s="12" t="s">
        <v>25</v>
      </c>
      <c r="B13" s="11"/>
      <c r="C13" s="11"/>
      <c r="D13" s="11"/>
      <c r="E13" s="11"/>
      <c r="F13" s="11"/>
      <c r="G13" s="11"/>
      <c r="H13" s="11"/>
      <c r="I13" s="11"/>
      <c r="J13" s="11"/>
      <c r="K13" s="10"/>
    </row>
    <row r="14" spans="1:11" ht="21" customHeight="1">
      <c r="A14" s="9"/>
      <c r="B14" s="8"/>
      <c r="C14" s="8"/>
      <c r="D14" s="8"/>
      <c r="E14" s="8"/>
      <c r="F14" s="8"/>
      <c r="G14" s="8"/>
      <c r="H14" s="8"/>
      <c r="I14" s="8"/>
      <c r="J14" s="8"/>
      <c r="K14" s="8"/>
    </row>
    <row r="16" spans="1:10" ht="48.75" customHeight="1">
      <c r="A16" s="7" t="s">
        <v>24</v>
      </c>
      <c r="B16" s="1418" t="s">
        <v>23</v>
      </c>
      <c r="C16" s="1419"/>
      <c r="D16" s="1420"/>
      <c r="E16" s="6"/>
      <c r="F16" s="6"/>
      <c r="G16" s="6"/>
      <c r="H16" s="6"/>
      <c r="I16" s="6"/>
      <c r="J16" s="6"/>
    </row>
    <row r="17" spans="1:4" ht="15.75">
      <c r="A17" s="5" t="s">
        <v>22</v>
      </c>
      <c r="B17" s="1414"/>
      <c r="C17" s="1415"/>
      <c r="D17" s="1416"/>
    </row>
    <row r="18" spans="1:4" ht="15.75">
      <c r="A18" s="3" t="s">
        <v>19</v>
      </c>
      <c r="B18" s="1414"/>
      <c r="C18" s="1415"/>
      <c r="D18" s="1416"/>
    </row>
    <row r="19" spans="1:4" ht="15.75">
      <c r="A19" s="3" t="s">
        <v>19</v>
      </c>
      <c r="B19" s="1414"/>
      <c r="C19" s="1415"/>
      <c r="D19" s="1416"/>
    </row>
    <row r="20" spans="1:4" ht="15.75">
      <c r="A20" s="3" t="s">
        <v>19</v>
      </c>
      <c r="B20" s="1414"/>
      <c r="C20" s="1415"/>
      <c r="D20" s="1416"/>
    </row>
    <row r="21" spans="1:4" ht="15.75">
      <c r="A21" s="4" t="s">
        <v>21</v>
      </c>
      <c r="B21" s="1414"/>
      <c r="C21" s="1415"/>
      <c r="D21" s="1416"/>
    </row>
    <row r="22" spans="1:4" ht="15.75">
      <c r="A22" s="3" t="s">
        <v>19</v>
      </c>
      <c r="B22" s="1414"/>
      <c r="C22" s="1415"/>
      <c r="D22" s="1416"/>
    </row>
    <row r="23" spans="1:4" ht="15.75">
      <c r="A23" s="3" t="s">
        <v>19</v>
      </c>
      <c r="B23" s="1414"/>
      <c r="C23" s="1415"/>
      <c r="D23" s="1416"/>
    </row>
    <row r="24" spans="1:4" ht="15.75">
      <c r="A24" s="3" t="s">
        <v>19</v>
      </c>
      <c r="B24" s="1414"/>
      <c r="C24" s="1415"/>
      <c r="D24" s="1416"/>
    </row>
    <row r="25" spans="1:4" ht="15.75">
      <c r="A25" s="4" t="s">
        <v>20</v>
      </c>
      <c r="B25" s="1414"/>
      <c r="C25" s="1415"/>
      <c r="D25" s="1416"/>
    </row>
    <row r="26" spans="1:4" ht="15.75">
      <c r="A26" s="3" t="s">
        <v>19</v>
      </c>
      <c r="B26" s="1414"/>
      <c r="C26" s="1415"/>
      <c r="D26" s="1416"/>
    </row>
    <row r="27" spans="1:4" ht="15.75">
      <c r="A27" s="3" t="s">
        <v>19</v>
      </c>
      <c r="B27" s="1414"/>
      <c r="C27" s="1415"/>
      <c r="D27" s="1416"/>
    </row>
    <row r="28" spans="1:4" ht="15.75">
      <c r="A28" s="3" t="s">
        <v>19</v>
      </c>
      <c r="B28" s="1414"/>
      <c r="C28" s="1415"/>
      <c r="D28" s="1416"/>
    </row>
    <row r="29" spans="1:4" ht="15.75">
      <c r="A29" s="2" t="s">
        <v>18</v>
      </c>
      <c r="B29" s="1414"/>
      <c r="C29" s="1415"/>
      <c r="D29" s="1416"/>
    </row>
  </sheetData>
  <sheetProtection/>
  <mergeCells count="20">
    <mergeCell ref="E3:G3"/>
    <mergeCell ref="B29:D29"/>
    <mergeCell ref="B25:D25"/>
    <mergeCell ref="B26:D26"/>
    <mergeCell ref="B27:D27"/>
    <mergeCell ref="B28:D28"/>
    <mergeCell ref="B21:D21"/>
    <mergeCell ref="B22:D22"/>
    <mergeCell ref="B23:D23"/>
    <mergeCell ref="B24:D24"/>
    <mergeCell ref="B20:D20"/>
    <mergeCell ref="A1:K1"/>
    <mergeCell ref="B16:D16"/>
    <mergeCell ref="A3:A4"/>
    <mergeCell ref="K3:K4"/>
    <mergeCell ref="B3:D3"/>
    <mergeCell ref="H3:J3"/>
    <mergeCell ref="B17:D17"/>
    <mergeCell ref="B18:D18"/>
    <mergeCell ref="B19:D19"/>
  </mergeCells>
  <printOptions horizontalCentered="1"/>
  <pageMargins left="0.3937007874015748" right="0.3937007874015748" top="0.5905511811023623" bottom="0" header="0.3937007874015748" footer="0"/>
  <pageSetup fitToHeight="1" fitToWidth="1" horizontalDpi="600" verticalDpi="600" orientation="landscape" paperSize="9" scale="74" r:id="rId1"/>
  <headerFooter alignWithMargins="0">
    <oddHeader>&amp;R&amp;"Arial,Dőlt"&amp;12 3. számú táblázat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AA227"/>
  <sheetViews>
    <sheetView zoomScale="80" zoomScaleNormal="80" zoomScalePageLayoutView="0" workbookViewId="0" topLeftCell="A1">
      <selection activeCell="F1" sqref="F1"/>
    </sheetView>
  </sheetViews>
  <sheetFormatPr defaultColWidth="9.00390625" defaultRowHeight="12.75"/>
  <cols>
    <col min="1" max="1" width="6.625" style="30" customWidth="1"/>
    <col min="2" max="2" width="109.625" style="30" bestFit="1" customWidth="1"/>
    <col min="3" max="16384" width="9.125" style="30" customWidth="1"/>
  </cols>
  <sheetData>
    <row r="1" s="90" customFormat="1" ht="15.75">
      <c r="F1" s="91" t="s">
        <v>1401</v>
      </c>
    </row>
    <row r="2" s="90" customFormat="1" ht="15.75"/>
    <row r="3" spans="1:6" s="92" customFormat="1" ht="15.75">
      <c r="A3" s="1298" t="s">
        <v>382</v>
      </c>
      <c r="B3" s="1298"/>
      <c r="C3" s="1298"/>
      <c r="D3" s="1298"/>
      <c r="E3" s="1298"/>
      <c r="F3" s="1298"/>
    </row>
    <row r="4" spans="1:6" s="92" customFormat="1" ht="15.75">
      <c r="A4" s="1298" t="s">
        <v>381</v>
      </c>
      <c r="B4" s="1298"/>
      <c r="C4" s="1298"/>
      <c r="D4" s="1298"/>
      <c r="E4" s="1298"/>
      <c r="F4" s="1298"/>
    </row>
    <row r="5" s="90" customFormat="1" ht="15.75"/>
    <row r="6" spans="1:6" s="92" customFormat="1" ht="15.75">
      <c r="A6" s="1298" t="s">
        <v>76</v>
      </c>
      <c r="B6" s="1298"/>
      <c r="C6" s="1298"/>
      <c r="D6" s="1298"/>
      <c r="E6" s="1298"/>
      <c r="F6" s="1298"/>
    </row>
    <row r="7" spans="1:6" s="73" customFormat="1" ht="12.75" thickBot="1">
      <c r="A7" s="75" t="s">
        <v>318</v>
      </c>
      <c r="F7" s="74" t="s">
        <v>319</v>
      </c>
    </row>
    <row r="8" spans="1:6" s="35" customFormat="1" ht="54" customHeight="1" thickBot="1">
      <c r="A8" s="123" t="s">
        <v>17</v>
      </c>
      <c r="B8" s="137" t="s">
        <v>378</v>
      </c>
      <c r="C8" s="31" t="s">
        <v>419</v>
      </c>
      <c r="D8" s="32" t="s">
        <v>79</v>
      </c>
      <c r="E8" s="33" t="s">
        <v>80</v>
      </c>
      <c r="F8" s="34" t="s">
        <v>81</v>
      </c>
    </row>
    <row r="9" spans="1:6" s="29" customFormat="1" ht="12.75" thickBot="1">
      <c r="A9" s="127" t="s">
        <v>291</v>
      </c>
      <c r="B9" s="138" t="s">
        <v>292</v>
      </c>
      <c r="C9" s="1300" t="s">
        <v>293</v>
      </c>
      <c r="D9" s="1301"/>
      <c r="E9" s="1301"/>
      <c r="F9" s="1302"/>
    </row>
    <row r="10" spans="1:6" s="29" customFormat="1" ht="12.75" thickBot="1">
      <c r="A10" s="139" t="s">
        <v>4</v>
      </c>
      <c r="B10" s="107" t="s">
        <v>335</v>
      </c>
      <c r="C10" s="70">
        <f>+C11+C25+C32+C43</f>
        <v>1570511</v>
      </c>
      <c r="D10" s="65">
        <f>+D11+D25+D32+D43</f>
        <v>1539147</v>
      </c>
      <c r="E10" s="66">
        <f>+E11+E25+E32+E43</f>
        <v>31364</v>
      </c>
      <c r="F10" s="67">
        <f>+F11+F25+F32+F43</f>
        <v>0</v>
      </c>
    </row>
    <row r="11" spans="1:6" s="29" customFormat="1" ht="12.75" customHeight="1" thickBot="1">
      <c r="A11" s="127" t="s">
        <v>5</v>
      </c>
      <c r="B11" s="108" t="s">
        <v>336</v>
      </c>
      <c r="C11" s="71">
        <f>+C12+C19+C20+C21+C22+C23</f>
        <v>1126437</v>
      </c>
      <c r="D11" s="60">
        <f>+D12+D19+D20+D21+D22+D23</f>
        <v>1124637</v>
      </c>
      <c r="E11" s="61">
        <f>+E12+E19+E20+E21+E22+E23</f>
        <v>1800</v>
      </c>
      <c r="F11" s="62">
        <f>+F12+F19+F20+F21+F22+F23</f>
        <v>0</v>
      </c>
    </row>
    <row r="12" spans="1:6" s="29" customFormat="1" ht="12">
      <c r="A12" s="128" t="s">
        <v>82</v>
      </c>
      <c r="B12" s="109" t="s">
        <v>337</v>
      </c>
      <c r="C12" s="63">
        <f>+C13+C14+C15+C16+C17+C18</f>
        <v>879197</v>
      </c>
      <c r="D12" s="46">
        <f>+D13+D14+D15+D16+D17+D18</f>
        <v>879197</v>
      </c>
      <c r="E12" s="37">
        <f>+E13+E14+E15+E16+E17+E18</f>
        <v>0</v>
      </c>
      <c r="F12" s="42">
        <f>+F13+F14+F15+F16+F17+F18</f>
        <v>0</v>
      </c>
    </row>
    <row r="13" spans="1:6" s="41" customFormat="1" ht="12">
      <c r="A13" s="130" t="s">
        <v>228</v>
      </c>
      <c r="B13" s="110" t="s">
        <v>121</v>
      </c>
      <c r="C13" s="51">
        <f>+D13+E13+F13</f>
        <v>222213</v>
      </c>
      <c r="D13" s="47">
        <f>+'1.1.mell._ÖNK_Mérleg2014'!D13+'1.2.mell._PH_Mérleg2014'!D13+'1.3.mell._HVÓBKI_Mérleg2014'!D13+'1.4.mell._HKK_Mérleg2014'!D13</f>
        <v>222213</v>
      </c>
      <c r="E13" s="40">
        <f>+'1.1.mell._ÖNK_Mérleg2014'!E13+'1.2.mell._PH_Mérleg2014'!E13+'1.3.mell._HVÓBKI_Mérleg2014'!E13+'1.4.mell._HKK_Mérleg2014'!E13</f>
        <v>0</v>
      </c>
      <c r="F13" s="43">
        <f>+'1.1.mell._ÖNK_Mérleg2014'!F13+'1.2.mell._PH_Mérleg2014'!F13+'1.3.mell._HVÓBKI_Mérleg2014'!F13+'1.4.mell._HKK_Mérleg2014'!F13</f>
        <v>0</v>
      </c>
    </row>
    <row r="14" spans="1:6" s="41" customFormat="1" ht="12">
      <c r="A14" s="130" t="s">
        <v>229</v>
      </c>
      <c r="B14" s="110" t="s">
        <v>122</v>
      </c>
      <c r="C14" s="51">
        <f aca="true" t="shared" si="0" ref="C14:C24">+D14+E14+F14</f>
        <v>183133</v>
      </c>
      <c r="D14" s="47">
        <f>+'1.1.mell._ÖNK_Mérleg2014'!D14+'1.2.mell._PH_Mérleg2014'!D14+'1.3.mell._HVÓBKI_Mérleg2014'!D14+'1.4.mell._HKK_Mérleg2014'!D14</f>
        <v>183133</v>
      </c>
      <c r="E14" s="40">
        <f>+'1.1.mell._ÖNK_Mérleg2014'!E14+'1.2.mell._PH_Mérleg2014'!E14+'1.3.mell._HVÓBKI_Mérleg2014'!E14+'1.4.mell._HKK_Mérleg2014'!E14</f>
        <v>0</v>
      </c>
      <c r="F14" s="43">
        <f>+'1.1.mell._ÖNK_Mérleg2014'!F14+'1.2.mell._PH_Mérleg2014'!F14+'1.3.mell._HVÓBKI_Mérleg2014'!F14+'1.4.mell._HKK_Mérleg2014'!F14</f>
        <v>0</v>
      </c>
    </row>
    <row r="15" spans="1:6" s="41" customFormat="1" ht="12">
      <c r="A15" s="130" t="s">
        <v>230</v>
      </c>
      <c r="B15" s="110" t="s">
        <v>123</v>
      </c>
      <c r="C15" s="51">
        <f t="shared" si="0"/>
        <v>340169</v>
      </c>
      <c r="D15" s="47">
        <f>+'1.1.mell._ÖNK_Mérleg2014'!D15+'1.2.mell._PH_Mérleg2014'!D15+'1.3.mell._HVÓBKI_Mérleg2014'!D15+'1.4.mell._HKK_Mérleg2014'!D15</f>
        <v>340169</v>
      </c>
      <c r="E15" s="40">
        <f>+'1.1.mell._ÖNK_Mérleg2014'!E15+'1.2.mell._PH_Mérleg2014'!E15+'1.3.mell._HVÓBKI_Mérleg2014'!E15+'1.4.mell._HKK_Mérleg2014'!E15</f>
        <v>0</v>
      </c>
      <c r="F15" s="43">
        <f>+'1.1.mell._ÖNK_Mérleg2014'!F15+'1.2.mell._PH_Mérleg2014'!F15+'1.3.mell._HVÓBKI_Mérleg2014'!F15+'1.4.mell._HKK_Mérleg2014'!F15</f>
        <v>0</v>
      </c>
    </row>
    <row r="16" spans="1:6" s="41" customFormat="1" ht="12">
      <c r="A16" s="130" t="s">
        <v>231</v>
      </c>
      <c r="B16" s="110" t="s">
        <v>124</v>
      </c>
      <c r="C16" s="51">
        <f t="shared" si="0"/>
        <v>16277</v>
      </c>
      <c r="D16" s="47">
        <f>+'1.1.mell._ÖNK_Mérleg2014'!D16+'1.2.mell._PH_Mérleg2014'!D16+'1.3.mell._HVÓBKI_Mérleg2014'!D16+'1.4.mell._HKK_Mérleg2014'!D16</f>
        <v>16277</v>
      </c>
      <c r="E16" s="40">
        <f>+'1.1.mell._ÖNK_Mérleg2014'!E16+'1.2.mell._PH_Mérleg2014'!E16+'1.3.mell._HVÓBKI_Mérleg2014'!E16+'1.4.mell._HKK_Mérleg2014'!E16</f>
        <v>0</v>
      </c>
      <c r="F16" s="43">
        <f>+'1.1.mell._ÖNK_Mérleg2014'!F16+'1.2.mell._PH_Mérleg2014'!F16+'1.3.mell._HVÓBKI_Mérleg2014'!F16+'1.4.mell._HKK_Mérleg2014'!F16</f>
        <v>0</v>
      </c>
    </row>
    <row r="17" spans="1:6" s="41" customFormat="1" ht="12">
      <c r="A17" s="130" t="s">
        <v>232</v>
      </c>
      <c r="B17" s="110" t="s">
        <v>125</v>
      </c>
      <c r="C17" s="51">
        <f t="shared" si="0"/>
        <v>3366</v>
      </c>
      <c r="D17" s="47">
        <f>+'1.1.mell._ÖNK_Mérleg2014'!D17+'1.2.mell._PH_Mérleg2014'!D17+'1.3.mell._HVÓBKI_Mérleg2014'!D17+'1.4.mell._HKK_Mérleg2014'!D17</f>
        <v>3366</v>
      </c>
      <c r="E17" s="40">
        <f>+'1.1.mell._ÖNK_Mérleg2014'!E17+'1.2.mell._PH_Mérleg2014'!E17+'1.3.mell._HVÓBKI_Mérleg2014'!E17+'1.4.mell._HKK_Mérleg2014'!E17</f>
        <v>0</v>
      </c>
      <c r="F17" s="43">
        <f>+'1.1.mell._ÖNK_Mérleg2014'!F17+'1.2.mell._PH_Mérleg2014'!F17+'1.3.mell._HVÓBKI_Mérleg2014'!F17+'1.4.mell._HKK_Mérleg2014'!F17</f>
        <v>0</v>
      </c>
    </row>
    <row r="18" spans="1:6" s="41" customFormat="1" ht="12">
      <c r="A18" s="130" t="s">
        <v>233</v>
      </c>
      <c r="B18" s="110" t="s">
        <v>126</v>
      </c>
      <c r="C18" s="51">
        <f t="shared" si="0"/>
        <v>114039</v>
      </c>
      <c r="D18" s="47">
        <f>+'1.1.mell._ÖNK_Mérleg2014'!D18+'1.2.mell._PH_Mérleg2014'!D18+'1.3.mell._HVÓBKI_Mérleg2014'!D18+'1.4.mell._HKK_Mérleg2014'!D18</f>
        <v>114039</v>
      </c>
      <c r="E18" s="40">
        <f>+'1.1.mell._ÖNK_Mérleg2014'!E18+'1.2.mell._PH_Mérleg2014'!E18+'1.3.mell._HVÓBKI_Mérleg2014'!E18+'1.4.mell._HKK_Mérleg2014'!E18</f>
        <v>0</v>
      </c>
      <c r="F18" s="43">
        <f>+'1.1.mell._ÖNK_Mérleg2014'!F18+'1.2.mell._PH_Mérleg2014'!F18+'1.3.mell._HVÓBKI_Mérleg2014'!F18+'1.4.mell._HKK_Mérleg2014'!F18</f>
        <v>0</v>
      </c>
    </row>
    <row r="19" spans="1:6" ht="12">
      <c r="A19" s="129" t="s">
        <v>83</v>
      </c>
      <c r="B19" s="111" t="s">
        <v>127</v>
      </c>
      <c r="C19" s="50">
        <f t="shared" si="0"/>
        <v>0</v>
      </c>
      <c r="D19" s="48">
        <f>+'1.1.mell._ÖNK_Mérleg2014'!D19+'1.2.mell._PH_Mérleg2014'!D19+'1.3.mell._HVÓBKI_Mérleg2014'!D19+'1.4.mell._HKK_Mérleg2014'!D19</f>
        <v>0</v>
      </c>
      <c r="E19" s="39">
        <f>+'1.1.mell._ÖNK_Mérleg2014'!E19+'1.2.mell._PH_Mérleg2014'!E19+'1.3.mell._HVÓBKI_Mérleg2014'!E19+'1.4.mell._HKK_Mérleg2014'!E19</f>
        <v>0</v>
      </c>
      <c r="F19" s="44">
        <f>+'1.1.mell._ÖNK_Mérleg2014'!F19+'1.2.mell._PH_Mérleg2014'!F19+'1.3.mell._HVÓBKI_Mérleg2014'!F19+'1.4.mell._HKK_Mérleg2014'!F19</f>
        <v>0</v>
      </c>
    </row>
    <row r="20" spans="1:6" ht="12">
      <c r="A20" s="129" t="s">
        <v>111</v>
      </c>
      <c r="B20" s="111" t="s">
        <v>128</v>
      </c>
      <c r="C20" s="50">
        <f t="shared" si="0"/>
        <v>0</v>
      </c>
      <c r="D20" s="48">
        <f>+'1.1.mell._ÖNK_Mérleg2014'!D20+'1.2.mell._PH_Mérleg2014'!D20+'1.3.mell._HVÓBKI_Mérleg2014'!D20+'1.4.mell._HKK_Mérleg2014'!D20</f>
        <v>0</v>
      </c>
      <c r="E20" s="39">
        <f>+'1.1.mell._ÖNK_Mérleg2014'!E20+'1.2.mell._PH_Mérleg2014'!E20+'1.3.mell._HVÓBKI_Mérleg2014'!E20+'1.4.mell._HKK_Mérleg2014'!E20</f>
        <v>0</v>
      </c>
      <c r="F20" s="44">
        <f>+'1.1.mell._ÖNK_Mérleg2014'!F20+'1.2.mell._PH_Mérleg2014'!F20+'1.3.mell._HVÓBKI_Mérleg2014'!F20+'1.4.mell._HKK_Mérleg2014'!F20</f>
        <v>0</v>
      </c>
    </row>
    <row r="21" spans="1:6" ht="12">
      <c r="A21" s="129" t="s">
        <v>112</v>
      </c>
      <c r="B21" s="111" t="s">
        <v>129</v>
      </c>
      <c r="C21" s="50">
        <f t="shared" si="0"/>
        <v>0</v>
      </c>
      <c r="D21" s="48">
        <f>+'1.1.mell._ÖNK_Mérleg2014'!D21+'1.2.mell._PH_Mérleg2014'!D21+'1.3.mell._HVÓBKI_Mérleg2014'!D21+'1.4.mell._HKK_Mérleg2014'!D21</f>
        <v>0</v>
      </c>
      <c r="E21" s="39">
        <f>+'1.1.mell._ÖNK_Mérleg2014'!E21+'1.2.mell._PH_Mérleg2014'!E21+'1.3.mell._HVÓBKI_Mérleg2014'!E21+'1.4.mell._HKK_Mérleg2014'!E21</f>
        <v>0</v>
      </c>
      <c r="F21" s="44">
        <f>+'1.1.mell._ÖNK_Mérleg2014'!F21+'1.2.mell._PH_Mérleg2014'!F21+'1.3.mell._HVÓBKI_Mérleg2014'!F21+'1.4.mell._HKK_Mérleg2014'!F21</f>
        <v>0</v>
      </c>
    </row>
    <row r="22" spans="1:6" ht="12">
      <c r="A22" s="129" t="s">
        <v>113</v>
      </c>
      <c r="B22" s="111" t="s">
        <v>130</v>
      </c>
      <c r="C22" s="50">
        <f t="shared" si="0"/>
        <v>0</v>
      </c>
      <c r="D22" s="48">
        <f>+'1.1.mell._ÖNK_Mérleg2014'!D22+'1.2.mell._PH_Mérleg2014'!D22+'1.3.mell._HVÓBKI_Mérleg2014'!D22+'1.4.mell._HKK_Mérleg2014'!D22</f>
        <v>0</v>
      </c>
      <c r="E22" s="39">
        <f>+'1.1.mell._ÖNK_Mérleg2014'!E22+'1.2.mell._PH_Mérleg2014'!E22+'1.3.mell._HVÓBKI_Mérleg2014'!E22+'1.4.mell._HKK_Mérleg2014'!E22</f>
        <v>0</v>
      </c>
      <c r="F22" s="44">
        <f>+'1.1.mell._ÖNK_Mérleg2014'!F22+'1.2.mell._PH_Mérleg2014'!F22+'1.3.mell._HVÓBKI_Mérleg2014'!F22+'1.4.mell._HKK_Mérleg2014'!F22</f>
        <v>0</v>
      </c>
    </row>
    <row r="23" spans="1:6" ht="12">
      <c r="A23" s="122" t="s">
        <v>114</v>
      </c>
      <c r="B23" s="112" t="s">
        <v>131</v>
      </c>
      <c r="C23" s="53">
        <f t="shared" si="0"/>
        <v>247240</v>
      </c>
      <c r="D23" s="54">
        <f>+'1.1.mell._ÖNK_Mérleg2014'!D23+'1.2.mell._PH_Mérleg2014'!D23+'1.3.mell._HVÓBKI_Mérleg2014'!D23+'1.4.mell._HKK_Mérleg2014'!D23</f>
        <v>245440</v>
      </c>
      <c r="E23" s="55">
        <f>+'1.1.mell._ÖNK_Mérleg2014'!E23+'1.2.mell._PH_Mérleg2014'!E23+'1.3.mell._HVÓBKI_Mérleg2014'!E23+'1.4.mell._HKK_Mérleg2014'!E23</f>
        <v>1800</v>
      </c>
      <c r="F23" s="56">
        <f>+'1.1.mell._ÖNK_Mérleg2014'!F23+'1.2.mell._PH_Mérleg2014'!F23+'1.3.mell._HVÓBKI_Mérleg2014'!F23+'1.4.mell._HKK_Mérleg2014'!F23</f>
        <v>0</v>
      </c>
    </row>
    <row r="24" spans="1:6" s="41" customFormat="1" ht="12.75" thickBot="1">
      <c r="A24" s="133" t="s">
        <v>384</v>
      </c>
      <c r="B24" s="106" t="s">
        <v>385</v>
      </c>
      <c r="C24" s="85">
        <f t="shared" si="0"/>
        <v>0</v>
      </c>
      <c r="D24" s="83">
        <f>+'1.1.mell._ÖNK_Mérleg2014'!D24+'1.2.mell._PH_Mérleg2014'!D24+'1.3.mell._HVÓBKI_Mérleg2014'!D24+'1.4.mell._HKK_Mérleg2014'!D24</f>
        <v>0</v>
      </c>
      <c r="E24" s="81">
        <f>+'1.1.mell._ÖNK_Mérleg2014'!E24+'1.2.mell._PH_Mérleg2014'!E24+'1.3.mell._HVÓBKI_Mérleg2014'!E24+'1.4.mell._HKK_Mérleg2014'!E24</f>
        <v>0</v>
      </c>
      <c r="F24" s="82">
        <f>+'1.1.mell._ÖNK_Mérleg2014'!F24+'1.2.mell._PH_Mérleg2014'!F24+'1.3.mell._HVÓBKI_Mérleg2014'!F24+'1.4.mell._HKK_Mérleg2014'!F24</f>
        <v>0</v>
      </c>
    </row>
    <row r="25" spans="1:6" s="29" customFormat="1" ht="12.75" customHeight="1" thickBot="1">
      <c r="A25" s="127" t="s">
        <v>6</v>
      </c>
      <c r="B25" s="108" t="s">
        <v>1090</v>
      </c>
      <c r="C25" s="71">
        <f>+C26+C27+C28+C29+C30+C31</f>
        <v>295460</v>
      </c>
      <c r="D25" s="60">
        <f>+D26+D27+D28+D29+D30+D31</f>
        <v>290150</v>
      </c>
      <c r="E25" s="61">
        <f>+E26+E27+E28+E29+E30+E31</f>
        <v>5310</v>
      </c>
      <c r="F25" s="62">
        <f>+F26+F27+F28+F29+F30+F31</f>
        <v>0</v>
      </c>
    </row>
    <row r="26" spans="1:6" ht="12.75" customHeight="1">
      <c r="A26" s="128" t="s">
        <v>86</v>
      </c>
      <c r="B26" s="109" t="s">
        <v>132</v>
      </c>
      <c r="C26" s="63">
        <f aca="true" t="shared" si="1" ref="C26:C31">+D26+E26+F26</f>
        <v>200</v>
      </c>
      <c r="D26" s="68">
        <f>+'1.1.mell._ÖNK_Mérleg2014'!D26+'1.2.mell._PH_Mérleg2014'!D26+'1.3.mell._HVÓBKI_Mérleg2014'!D26+'1.4.mell._HKK_Mérleg2014'!D26</f>
        <v>200</v>
      </c>
      <c r="E26" s="38">
        <f>+'1.1.mell._ÖNK_Mérleg2014'!E26+'1.2.mell._PH_Mérleg2014'!E26+'1.3.mell._HVÓBKI_Mérleg2014'!E26+'1.4.mell._HKK_Mérleg2014'!E26</f>
        <v>0</v>
      </c>
      <c r="F26" s="69">
        <f>+'1.1.mell._ÖNK_Mérleg2014'!F26+'1.2.mell._PH_Mérleg2014'!F26+'1.3.mell._HVÓBKI_Mérleg2014'!F26+'1.4.mell._HKK_Mérleg2014'!F26</f>
        <v>0</v>
      </c>
    </row>
    <row r="27" spans="1:6" ht="12.75" customHeight="1">
      <c r="A27" s="129" t="s">
        <v>87</v>
      </c>
      <c r="B27" s="111" t="s">
        <v>133</v>
      </c>
      <c r="C27" s="50">
        <f t="shared" si="1"/>
        <v>0</v>
      </c>
      <c r="D27" s="48">
        <f>+'1.1.mell._ÖNK_Mérleg2014'!D27+'1.2.mell._PH_Mérleg2014'!D27+'1.3.mell._HVÓBKI_Mérleg2014'!D27+'1.4.mell._HKK_Mérleg2014'!D27</f>
        <v>0</v>
      </c>
      <c r="E27" s="39">
        <f>+'1.1.mell._ÖNK_Mérleg2014'!E27+'1.2.mell._PH_Mérleg2014'!E27+'1.3.mell._HVÓBKI_Mérleg2014'!E27+'1.4.mell._HKK_Mérleg2014'!E27</f>
        <v>0</v>
      </c>
      <c r="F27" s="44">
        <f>+'1.1.mell._ÖNK_Mérleg2014'!F27+'1.2.mell._PH_Mérleg2014'!F27+'1.3.mell._HVÓBKI_Mérleg2014'!F27+'1.4.mell._HKK_Mérleg2014'!F27</f>
        <v>0</v>
      </c>
    </row>
    <row r="28" spans="1:6" ht="12.75" customHeight="1">
      <c r="A28" s="129" t="s">
        <v>88</v>
      </c>
      <c r="B28" s="111" t="s">
        <v>134</v>
      </c>
      <c r="C28" s="50">
        <f t="shared" si="1"/>
        <v>0</v>
      </c>
      <c r="D28" s="48">
        <f>+'1.1.mell._ÖNK_Mérleg2014'!D28+'1.2.mell._PH_Mérleg2014'!D28+'1.3.mell._HVÓBKI_Mérleg2014'!D28+'1.4.mell._HKK_Mérleg2014'!D28</f>
        <v>0</v>
      </c>
      <c r="E28" s="39">
        <f>+'1.1.mell._ÖNK_Mérleg2014'!E28+'1.2.mell._PH_Mérleg2014'!E28+'1.3.mell._HVÓBKI_Mérleg2014'!E28+'1.4.mell._HKK_Mérleg2014'!E28</f>
        <v>0</v>
      </c>
      <c r="F28" s="44">
        <f>+'1.1.mell._ÖNK_Mérleg2014'!F28+'1.2.mell._PH_Mérleg2014'!F28+'1.3.mell._HVÓBKI_Mérleg2014'!F28+'1.4.mell._HKK_Mérleg2014'!F28</f>
        <v>0</v>
      </c>
    </row>
    <row r="29" spans="1:6" ht="12.75" customHeight="1">
      <c r="A29" s="129" t="s">
        <v>218</v>
      </c>
      <c r="B29" s="111" t="s">
        <v>135</v>
      </c>
      <c r="C29" s="50">
        <f t="shared" si="1"/>
        <v>42600</v>
      </c>
      <c r="D29" s="48">
        <f>+'1.1.mell._ÖNK_Mérleg2014'!D29+'1.2.mell._PH_Mérleg2014'!D29+'1.3.mell._HVÓBKI_Mérleg2014'!D29+'1.4.mell._HKK_Mérleg2014'!D29</f>
        <v>42600</v>
      </c>
      <c r="E29" s="39">
        <f>+'1.1.mell._ÖNK_Mérleg2014'!E29+'1.2.mell._PH_Mérleg2014'!E29+'1.3.mell._HVÓBKI_Mérleg2014'!E29+'1.4.mell._HKK_Mérleg2014'!E29</f>
        <v>0</v>
      </c>
      <c r="F29" s="44">
        <f>+'1.1.mell._ÖNK_Mérleg2014'!F29+'1.2.mell._PH_Mérleg2014'!F29+'1.3.mell._HVÓBKI_Mérleg2014'!F29+'1.4.mell._HKK_Mérleg2014'!F29</f>
        <v>0</v>
      </c>
    </row>
    <row r="30" spans="1:6" ht="12.75" customHeight="1">
      <c r="A30" s="122" t="s">
        <v>219</v>
      </c>
      <c r="B30" s="112" t="s">
        <v>136</v>
      </c>
      <c r="C30" s="53">
        <f t="shared" si="1"/>
        <v>241650</v>
      </c>
      <c r="D30" s="48">
        <f>+'1.1.mell._ÖNK_Mérleg2014'!D30+'1.2.mell._PH_Mérleg2014'!D30+'1.3.mell._HVÓBKI_Mérleg2014'!D30+'1.4.mell._HKK_Mérleg2014'!D30</f>
        <v>241650</v>
      </c>
      <c r="E30" s="39">
        <f>+'1.1.mell._ÖNK_Mérleg2014'!E30+'1.2.mell._PH_Mérleg2014'!E30+'1.3.mell._HVÓBKI_Mérleg2014'!E30+'1.4.mell._HKK_Mérleg2014'!E30</f>
        <v>0</v>
      </c>
      <c r="F30" s="44">
        <f>+'1.1.mell._ÖNK_Mérleg2014'!F30+'1.2.mell._PH_Mérleg2014'!F30+'1.3.mell._HVÓBKI_Mérleg2014'!F30+'1.4.mell._HKK_Mérleg2014'!F30</f>
        <v>0</v>
      </c>
    </row>
    <row r="31" spans="1:6" ht="12.75" customHeight="1" thickBot="1">
      <c r="A31" s="122" t="s">
        <v>1089</v>
      </c>
      <c r="B31" s="112" t="s">
        <v>1091</v>
      </c>
      <c r="C31" s="53">
        <f t="shared" si="1"/>
        <v>11010</v>
      </c>
      <c r="D31" s="48">
        <f>+'1.1.mell._ÖNK_Mérleg2014'!D31+'1.2.mell._PH_Mérleg2014'!D31+'1.3.mell._HVÓBKI_Mérleg2014'!D31+'1.4.mell._HKK_Mérleg2014'!D31</f>
        <v>5700</v>
      </c>
      <c r="E31" s="39">
        <f>+'1.1.mell._ÖNK_Mérleg2014'!E31+'1.2.mell._PH_Mérleg2014'!E31+'1.3.mell._HVÓBKI_Mérleg2014'!E31+'1.4.mell._HKK_Mérleg2014'!E31</f>
        <v>5310</v>
      </c>
      <c r="F31" s="44">
        <f>+'1.1.mell._ÖNK_Mérleg2014'!F31+'1.2.mell._PH_Mérleg2014'!F31+'1.3.mell._HVÓBKI_Mérleg2014'!F31+'1.4.mell._HKK_Mérleg2014'!F31</f>
        <v>0</v>
      </c>
    </row>
    <row r="32" spans="1:6" s="29" customFormat="1" ht="12.75" customHeight="1" thickBot="1">
      <c r="A32" s="127" t="s">
        <v>3</v>
      </c>
      <c r="B32" s="108" t="s">
        <v>338</v>
      </c>
      <c r="C32" s="71">
        <f>+C33+C34+C35+C36+C37+C38+C39+C40+C41+C42</f>
        <v>94452</v>
      </c>
      <c r="D32" s="60">
        <f>+D33+D34+D35+D36+D37+D38+D39+D40+D41+D42</f>
        <v>70198</v>
      </c>
      <c r="E32" s="61">
        <f>+E33+E34+E35+E36+E37+E38+E39+E40+E41+E42</f>
        <v>24254</v>
      </c>
      <c r="F32" s="62">
        <f>+F33+F34+F35+F36+F37+F38+F39+F40+F41+F42</f>
        <v>0</v>
      </c>
    </row>
    <row r="33" spans="1:6" ht="12.75" customHeight="1">
      <c r="A33" s="128" t="s">
        <v>89</v>
      </c>
      <c r="B33" s="109" t="s">
        <v>137</v>
      </c>
      <c r="C33" s="63">
        <f aca="true" t="shared" si="2" ref="C33:C42">+D33+E33+F33</f>
        <v>0</v>
      </c>
      <c r="D33" s="68">
        <f>+'1.1.mell._ÖNK_Mérleg2014'!D33+'1.2.mell._PH_Mérleg2014'!D33+'1.3.mell._HVÓBKI_Mérleg2014'!D33+'1.4.mell._HKK_Mérleg2014'!D33</f>
        <v>0</v>
      </c>
      <c r="E33" s="38">
        <f>+'1.1.mell._ÖNK_Mérleg2014'!E33+'1.2.mell._PH_Mérleg2014'!E33+'1.3.mell._HVÓBKI_Mérleg2014'!E33+'1.4.mell._HKK_Mérleg2014'!E33</f>
        <v>0</v>
      </c>
      <c r="F33" s="69">
        <f>+'1.1.mell._ÖNK_Mérleg2014'!F33+'1.2.mell._PH_Mérleg2014'!F33+'1.3.mell._HVÓBKI_Mérleg2014'!F33+'1.4.mell._HKK_Mérleg2014'!F33</f>
        <v>0</v>
      </c>
    </row>
    <row r="34" spans="1:6" ht="12.75" customHeight="1">
      <c r="A34" s="129" t="s">
        <v>90</v>
      </c>
      <c r="B34" s="111" t="s">
        <v>138</v>
      </c>
      <c r="C34" s="50">
        <f t="shared" si="2"/>
        <v>57351</v>
      </c>
      <c r="D34" s="48">
        <f>+'1.1.mell._ÖNK_Mérleg2014'!D34+'1.2.mell._PH_Mérleg2014'!D34+'1.3.mell._HVÓBKI_Mérleg2014'!D34+'1.4.mell._HKK_Mérleg2014'!D34</f>
        <v>38253</v>
      </c>
      <c r="E34" s="39">
        <f>+'1.1.mell._ÖNK_Mérleg2014'!E34+'1.2.mell._PH_Mérleg2014'!E34+'1.3.mell._HVÓBKI_Mérleg2014'!E34+'1.4.mell._HKK_Mérleg2014'!E34</f>
        <v>19098</v>
      </c>
      <c r="F34" s="44">
        <f>+'1.1.mell._ÖNK_Mérleg2014'!F34+'1.2.mell._PH_Mérleg2014'!F34+'1.3.mell._HVÓBKI_Mérleg2014'!F34+'1.4.mell._HKK_Mérleg2014'!F34</f>
        <v>0</v>
      </c>
    </row>
    <row r="35" spans="1:6" ht="12.75" customHeight="1">
      <c r="A35" s="129" t="s">
        <v>91</v>
      </c>
      <c r="B35" s="111" t="s">
        <v>139</v>
      </c>
      <c r="C35" s="50">
        <f t="shared" si="2"/>
        <v>12695</v>
      </c>
      <c r="D35" s="48">
        <f>+'1.1.mell._ÖNK_Mérleg2014'!D35+'1.2.mell._PH_Mérleg2014'!D35+'1.3.mell._HVÓBKI_Mérleg2014'!D35+'1.4.mell._HKK_Mérleg2014'!D35</f>
        <v>12695</v>
      </c>
      <c r="E35" s="39">
        <f>+'1.1.mell._ÖNK_Mérleg2014'!E35+'1.2.mell._PH_Mérleg2014'!E35+'1.3.mell._HVÓBKI_Mérleg2014'!E35+'1.4.mell._HKK_Mérleg2014'!E35</f>
        <v>0</v>
      </c>
      <c r="F35" s="44">
        <f>+'1.1.mell._ÖNK_Mérleg2014'!F35+'1.2.mell._PH_Mérleg2014'!F35+'1.3.mell._HVÓBKI_Mérleg2014'!F35+'1.4.mell._HKK_Mérleg2014'!F35</f>
        <v>0</v>
      </c>
    </row>
    <row r="36" spans="1:6" ht="12.75" customHeight="1">
      <c r="A36" s="129" t="s">
        <v>92</v>
      </c>
      <c r="B36" s="111" t="s">
        <v>140</v>
      </c>
      <c r="C36" s="50">
        <f t="shared" si="2"/>
        <v>244</v>
      </c>
      <c r="D36" s="48">
        <f>+'1.1.mell._ÖNK_Mérleg2014'!D36+'1.2.mell._PH_Mérleg2014'!D36+'1.3.mell._HVÓBKI_Mérleg2014'!D36+'1.4.mell._HKK_Mérleg2014'!D36</f>
        <v>244</v>
      </c>
      <c r="E36" s="39">
        <f>+'1.1.mell._ÖNK_Mérleg2014'!E36+'1.2.mell._PH_Mérleg2014'!E36+'1.3.mell._HVÓBKI_Mérleg2014'!E36+'1.4.mell._HKK_Mérleg2014'!E36</f>
        <v>0</v>
      </c>
      <c r="F36" s="44">
        <f>+'1.1.mell._ÖNK_Mérleg2014'!F36+'1.2.mell._PH_Mérleg2014'!F36+'1.3.mell._HVÓBKI_Mérleg2014'!F36+'1.4.mell._HKK_Mérleg2014'!F36</f>
        <v>0</v>
      </c>
    </row>
    <row r="37" spans="1:6" ht="12.75" customHeight="1">
      <c r="A37" s="129" t="s">
        <v>93</v>
      </c>
      <c r="B37" s="111" t="s">
        <v>141</v>
      </c>
      <c r="C37" s="50">
        <f t="shared" si="2"/>
        <v>0</v>
      </c>
      <c r="D37" s="48">
        <f>+'1.1.mell._ÖNK_Mérleg2014'!D37+'1.2.mell._PH_Mérleg2014'!D37+'1.3.mell._HVÓBKI_Mérleg2014'!D37+'1.4.mell._HKK_Mérleg2014'!D37</f>
        <v>0</v>
      </c>
      <c r="E37" s="39">
        <f>+'1.1.mell._ÖNK_Mérleg2014'!E37+'1.2.mell._PH_Mérleg2014'!E37+'1.3.mell._HVÓBKI_Mérleg2014'!E37+'1.4.mell._HKK_Mérleg2014'!E37</f>
        <v>0</v>
      </c>
      <c r="F37" s="44">
        <f>+'1.1.mell._ÖNK_Mérleg2014'!F37+'1.2.mell._PH_Mérleg2014'!F37+'1.3.mell._HVÓBKI_Mérleg2014'!F37+'1.4.mell._HKK_Mérleg2014'!F37</f>
        <v>0</v>
      </c>
    </row>
    <row r="38" spans="1:6" ht="12.75" customHeight="1">
      <c r="A38" s="129" t="s">
        <v>260</v>
      </c>
      <c r="B38" s="111" t="s">
        <v>142</v>
      </c>
      <c r="C38" s="50">
        <f>+D38+E38+F38</f>
        <v>16115</v>
      </c>
      <c r="D38" s="48">
        <f>+'1.1.mell._ÖNK_Mérleg2014'!D38+'1.2.mell._PH_Mérleg2014'!D38+'1.3.mell._HVÓBKI_Mérleg2014'!D38+'1.4.mell._HKK_Mérleg2014'!D38</f>
        <v>11013</v>
      </c>
      <c r="E38" s="39">
        <f>+'1.1.mell._ÖNK_Mérleg2014'!E38+'1.2.mell._PH_Mérleg2014'!E38+'1.3.mell._HVÓBKI_Mérleg2014'!E38+'1.4.mell._HKK_Mérleg2014'!E38</f>
        <v>5102</v>
      </c>
      <c r="F38" s="44">
        <f>+'1.1.mell._ÖNK_Mérleg2014'!F38+'1.2.mell._PH_Mérleg2014'!F38+'1.3.mell._HVÓBKI_Mérleg2014'!F38+'1.4.mell._HKK_Mérleg2014'!F38</f>
        <v>0</v>
      </c>
    </row>
    <row r="39" spans="1:6" ht="12.75" customHeight="1">
      <c r="A39" s="129" t="s">
        <v>261</v>
      </c>
      <c r="B39" s="111" t="s">
        <v>143</v>
      </c>
      <c r="C39" s="50">
        <f t="shared" si="2"/>
        <v>7047</v>
      </c>
      <c r="D39" s="48">
        <f>+'1.1.mell._ÖNK_Mérleg2014'!D39+'1.2.mell._PH_Mérleg2014'!D39+'1.3.mell._HVÓBKI_Mérleg2014'!D39+'1.4.mell._HKK_Mérleg2014'!D39</f>
        <v>6993</v>
      </c>
      <c r="E39" s="39">
        <f>+'1.1.mell._ÖNK_Mérleg2014'!E39+'1.2.mell._PH_Mérleg2014'!E39+'1.3.mell._HVÓBKI_Mérleg2014'!E39+'1.4.mell._HKK_Mérleg2014'!E39</f>
        <v>54</v>
      </c>
      <c r="F39" s="44">
        <f>+'1.1.mell._ÖNK_Mérleg2014'!F39+'1.2.mell._PH_Mérleg2014'!F39+'1.3.mell._HVÓBKI_Mérleg2014'!F39+'1.4.mell._HKK_Mérleg2014'!F39</f>
        <v>0</v>
      </c>
    </row>
    <row r="40" spans="1:6" ht="12.75" customHeight="1">
      <c r="A40" s="129" t="s">
        <v>262</v>
      </c>
      <c r="B40" s="111" t="s">
        <v>144</v>
      </c>
      <c r="C40" s="50">
        <f t="shared" si="2"/>
        <v>1000</v>
      </c>
      <c r="D40" s="48">
        <f>+'1.1.mell._ÖNK_Mérleg2014'!D40+'1.2.mell._PH_Mérleg2014'!D40+'1.3.mell._HVÓBKI_Mérleg2014'!D40+'1.4.mell._HKK_Mérleg2014'!D40</f>
        <v>1000</v>
      </c>
      <c r="E40" s="39">
        <f>+'1.1.mell._ÖNK_Mérleg2014'!E40+'1.2.mell._PH_Mérleg2014'!E40+'1.3.mell._HVÓBKI_Mérleg2014'!E40+'1.4.mell._HKK_Mérleg2014'!E40</f>
        <v>0</v>
      </c>
      <c r="F40" s="44">
        <f>+'1.1.mell._ÖNK_Mérleg2014'!F40+'1.2.mell._PH_Mérleg2014'!F40+'1.3.mell._HVÓBKI_Mérleg2014'!F40+'1.4.mell._HKK_Mérleg2014'!F40</f>
        <v>0</v>
      </c>
    </row>
    <row r="41" spans="1:6" ht="12.75" customHeight="1">
      <c r="A41" s="129" t="s">
        <v>263</v>
      </c>
      <c r="B41" s="111" t="s">
        <v>145</v>
      </c>
      <c r="C41" s="50">
        <f t="shared" si="2"/>
        <v>0</v>
      </c>
      <c r="D41" s="48">
        <f>+'1.1.mell._ÖNK_Mérleg2014'!D41+'1.2.mell._PH_Mérleg2014'!D41+'1.3.mell._HVÓBKI_Mérleg2014'!D41+'1.4.mell._HKK_Mérleg2014'!D41</f>
        <v>0</v>
      </c>
      <c r="E41" s="39">
        <f>+'1.1.mell._ÖNK_Mérleg2014'!E41+'1.2.mell._PH_Mérleg2014'!E41+'1.3.mell._HVÓBKI_Mérleg2014'!E41+'1.4.mell._HKK_Mérleg2014'!E41</f>
        <v>0</v>
      </c>
      <c r="F41" s="44">
        <f>+'1.1.mell._ÖNK_Mérleg2014'!F41+'1.2.mell._PH_Mérleg2014'!F41+'1.3.mell._HVÓBKI_Mérleg2014'!F41+'1.4.mell._HKK_Mérleg2014'!F41</f>
        <v>0</v>
      </c>
    </row>
    <row r="42" spans="1:6" ht="12.75" customHeight="1" thickBot="1">
      <c r="A42" s="122" t="s">
        <v>264</v>
      </c>
      <c r="B42" s="112" t="s">
        <v>146</v>
      </c>
      <c r="C42" s="53">
        <f t="shared" si="2"/>
        <v>0</v>
      </c>
      <c r="D42" s="54">
        <f>+'1.1.mell._ÖNK_Mérleg2014'!D42+'1.2.mell._PH_Mérleg2014'!D42+'1.3.mell._HVÓBKI_Mérleg2014'!D42+'1.4.mell._HKK_Mérleg2014'!D42</f>
        <v>0</v>
      </c>
      <c r="E42" s="55">
        <f>+'1.1.mell._ÖNK_Mérleg2014'!E42+'1.2.mell._PH_Mérleg2014'!E42+'1.3.mell._HVÓBKI_Mérleg2014'!E42+'1.4.mell._HKK_Mérleg2014'!E42</f>
        <v>0</v>
      </c>
      <c r="F42" s="56">
        <f>+'1.1.mell._ÖNK_Mérleg2014'!F42+'1.2.mell._PH_Mérleg2014'!F42+'1.3.mell._HVÓBKI_Mérleg2014'!F42+'1.4.mell._HKK_Mérleg2014'!F42</f>
        <v>0</v>
      </c>
    </row>
    <row r="43" spans="1:6" s="29" customFormat="1" ht="12.75" thickBot="1">
      <c r="A43" s="127" t="s">
        <v>16</v>
      </c>
      <c r="B43" s="108" t="s">
        <v>339</v>
      </c>
      <c r="C43" s="71">
        <f>+C44+C45+C46</f>
        <v>54162</v>
      </c>
      <c r="D43" s="60">
        <f>+D44+D45+D46</f>
        <v>54162</v>
      </c>
      <c r="E43" s="61">
        <f>+E44+E45+E46</f>
        <v>0</v>
      </c>
      <c r="F43" s="62">
        <f>+F44+F45+F46</f>
        <v>0</v>
      </c>
    </row>
    <row r="44" spans="1:6" ht="12.75" customHeight="1">
      <c r="A44" s="128" t="s">
        <v>265</v>
      </c>
      <c r="B44" s="109" t="s">
        <v>147</v>
      </c>
      <c r="C44" s="63">
        <f>+D44+E44+F44</f>
        <v>0</v>
      </c>
      <c r="D44" s="68">
        <f>+'1.1.mell._ÖNK_Mérleg2014'!D44+'1.2.mell._PH_Mérleg2014'!D44+'1.3.mell._HVÓBKI_Mérleg2014'!D44+'1.4.mell._HKK_Mérleg2014'!D44</f>
        <v>0</v>
      </c>
      <c r="E44" s="38">
        <f>+'1.1.mell._ÖNK_Mérleg2014'!E44+'1.2.mell._PH_Mérleg2014'!E44+'1.3.mell._HVÓBKI_Mérleg2014'!E44+'1.4.mell._HKK_Mérleg2014'!E44</f>
        <v>0</v>
      </c>
      <c r="F44" s="69">
        <f>+'1.1.mell._ÖNK_Mérleg2014'!F44+'1.2.mell._PH_Mérleg2014'!F44+'1.3.mell._HVÓBKI_Mérleg2014'!F44+'1.4.mell._HKK_Mérleg2014'!F44</f>
        <v>0</v>
      </c>
    </row>
    <row r="45" spans="1:6" ht="12.75" customHeight="1">
      <c r="A45" s="129" t="s">
        <v>266</v>
      </c>
      <c r="B45" s="111" t="s">
        <v>148</v>
      </c>
      <c r="C45" s="50">
        <f>+D45+E45+F45</f>
        <v>54162</v>
      </c>
      <c r="D45" s="48">
        <f>+'1.1.mell._ÖNK_Mérleg2014'!D45+'1.2.mell._PH_Mérleg2014'!D45+'1.3.mell._HVÓBKI_Mérleg2014'!D45+'1.4.mell._HKK_Mérleg2014'!D45</f>
        <v>54162</v>
      </c>
      <c r="E45" s="39">
        <f>+'1.1.mell._ÖNK_Mérleg2014'!E45+'1.2.mell._PH_Mérleg2014'!E45+'1.3.mell._HVÓBKI_Mérleg2014'!E45+'1.4.mell._HKK_Mérleg2014'!E45</f>
        <v>0</v>
      </c>
      <c r="F45" s="44">
        <f>+'1.1.mell._ÖNK_Mérleg2014'!F45+'1.2.mell._PH_Mérleg2014'!F45+'1.3.mell._HVÓBKI_Mérleg2014'!F45+'1.4.mell._HKK_Mérleg2014'!F45</f>
        <v>0</v>
      </c>
    </row>
    <row r="46" spans="1:6" ht="12.75" customHeight="1" thickBot="1">
      <c r="A46" s="122" t="s">
        <v>267</v>
      </c>
      <c r="B46" s="112" t="s">
        <v>149</v>
      </c>
      <c r="C46" s="53">
        <f>+D46+E46+F46</f>
        <v>0</v>
      </c>
      <c r="D46" s="54">
        <f>+'1.1.mell._ÖNK_Mérleg2014'!D46+'1.2.mell._PH_Mérleg2014'!D46+'1.3.mell._HVÓBKI_Mérleg2014'!D46+'1.4.mell._HKK_Mérleg2014'!D46</f>
        <v>0</v>
      </c>
      <c r="E46" s="55">
        <f>+'1.1.mell._ÖNK_Mérleg2014'!E46+'1.2.mell._PH_Mérleg2014'!E46+'1.3.mell._HVÓBKI_Mérleg2014'!E46+'1.4.mell._HKK_Mérleg2014'!E46</f>
        <v>0</v>
      </c>
      <c r="F46" s="56">
        <f>+'1.1.mell._ÖNK_Mérleg2014'!F46+'1.2.mell._PH_Mérleg2014'!F46+'1.3.mell._HVÓBKI_Mérleg2014'!F46+'1.4.mell._HKK_Mérleg2014'!F46</f>
        <v>0</v>
      </c>
    </row>
    <row r="47" spans="1:6" s="29" customFormat="1" ht="12.75" thickBot="1">
      <c r="A47" s="127" t="s">
        <v>15</v>
      </c>
      <c r="B47" s="113" t="s">
        <v>340</v>
      </c>
      <c r="C47" s="71">
        <f>+C48+C55+C61</f>
        <v>26356</v>
      </c>
      <c r="D47" s="60">
        <f>+D48+D55+D61</f>
        <v>23356</v>
      </c>
      <c r="E47" s="61">
        <f>+E48+E55+E61</f>
        <v>3000</v>
      </c>
      <c r="F47" s="62">
        <f>+F48+F55+F61</f>
        <v>0</v>
      </c>
    </row>
    <row r="48" spans="1:6" s="29" customFormat="1" ht="12.75" customHeight="1" thickBot="1">
      <c r="A48" s="127" t="s">
        <v>14</v>
      </c>
      <c r="B48" s="108" t="s">
        <v>341</v>
      </c>
      <c r="C48" s="71">
        <f>+C49+C50+C51+C52+C53</f>
        <v>23356</v>
      </c>
      <c r="D48" s="60">
        <f>+D49+D50+D51+D52+D53</f>
        <v>23356</v>
      </c>
      <c r="E48" s="61">
        <f>+E49+E50+E51+E52+E53</f>
        <v>0</v>
      </c>
      <c r="F48" s="62">
        <f>+F49+F50+F51+F52+F53</f>
        <v>0</v>
      </c>
    </row>
    <row r="49" spans="1:6" ht="12">
      <c r="A49" s="128" t="s">
        <v>223</v>
      </c>
      <c r="B49" s="109" t="s">
        <v>150</v>
      </c>
      <c r="C49" s="63">
        <f aca="true" t="shared" si="3" ref="C49:C54">+D49+E49+F49</f>
        <v>0</v>
      </c>
      <c r="D49" s="68">
        <f>+'1.1.mell._ÖNK_Mérleg2014'!D49+'1.2.mell._PH_Mérleg2014'!D49+'1.3.mell._HVÓBKI_Mérleg2014'!D49+'1.4.mell._HKK_Mérleg2014'!D49</f>
        <v>0</v>
      </c>
      <c r="E49" s="38">
        <f>+'1.1.mell._ÖNK_Mérleg2014'!E49+'1.2.mell._PH_Mérleg2014'!E49+'1.3.mell._HVÓBKI_Mérleg2014'!E49+'1.4.mell._HKK_Mérleg2014'!E49</f>
        <v>0</v>
      </c>
      <c r="F49" s="69">
        <f>+'1.1.mell._ÖNK_Mérleg2014'!F49+'1.2.mell._PH_Mérleg2014'!F49+'1.3.mell._HVÓBKI_Mérleg2014'!F49+'1.4.mell._HKK_Mérleg2014'!F49</f>
        <v>0</v>
      </c>
    </row>
    <row r="50" spans="1:6" ht="12">
      <c r="A50" s="129" t="s">
        <v>224</v>
      </c>
      <c r="B50" s="111" t="s">
        <v>151</v>
      </c>
      <c r="C50" s="50">
        <f t="shared" si="3"/>
        <v>0</v>
      </c>
      <c r="D50" s="48">
        <f>+'1.1.mell._ÖNK_Mérleg2014'!D50+'1.2.mell._PH_Mérleg2014'!D50+'1.3.mell._HVÓBKI_Mérleg2014'!D50+'1.4.mell._HKK_Mérleg2014'!D50</f>
        <v>0</v>
      </c>
      <c r="E50" s="39">
        <f>+'1.1.mell._ÖNK_Mérleg2014'!E50+'1.2.mell._PH_Mérleg2014'!E50+'1.3.mell._HVÓBKI_Mérleg2014'!E50+'1.4.mell._HKK_Mérleg2014'!E50</f>
        <v>0</v>
      </c>
      <c r="F50" s="44">
        <f>+'1.1.mell._ÖNK_Mérleg2014'!F50+'1.2.mell._PH_Mérleg2014'!F50+'1.3.mell._HVÓBKI_Mérleg2014'!F50+'1.4.mell._HKK_Mérleg2014'!F50</f>
        <v>0</v>
      </c>
    </row>
    <row r="51" spans="1:6" ht="12">
      <c r="A51" s="129" t="s">
        <v>225</v>
      </c>
      <c r="B51" s="111" t="s">
        <v>152</v>
      </c>
      <c r="C51" s="50">
        <f t="shared" si="3"/>
        <v>0</v>
      </c>
      <c r="D51" s="48">
        <f>+'1.1.mell._ÖNK_Mérleg2014'!D51+'1.2.mell._PH_Mérleg2014'!D51+'1.3.mell._HVÓBKI_Mérleg2014'!D51+'1.4.mell._HKK_Mérleg2014'!D51</f>
        <v>0</v>
      </c>
      <c r="E51" s="39">
        <f>+'1.1.mell._ÖNK_Mérleg2014'!E51+'1.2.mell._PH_Mérleg2014'!E51+'1.3.mell._HVÓBKI_Mérleg2014'!E51+'1.4.mell._HKK_Mérleg2014'!E51</f>
        <v>0</v>
      </c>
      <c r="F51" s="44">
        <f>+'1.1.mell._ÖNK_Mérleg2014'!F51+'1.2.mell._PH_Mérleg2014'!F51+'1.3.mell._HVÓBKI_Mérleg2014'!F51+'1.4.mell._HKK_Mérleg2014'!F51</f>
        <v>0</v>
      </c>
    </row>
    <row r="52" spans="1:6" ht="12">
      <c r="A52" s="129" t="s">
        <v>226</v>
      </c>
      <c r="B52" s="111" t="s">
        <v>153</v>
      </c>
      <c r="C52" s="50">
        <f t="shared" si="3"/>
        <v>0</v>
      </c>
      <c r="D52" s="48">
        <f>+'1.1.mell._ÖNK_Mérleg2014'!D52+'1.2.mell._PH_Mérleg2014'!D52+'1.3.mell._HVÓBKI_Mérleg2014'!D52+'1.4.mell._HKK_Mérleg2014'!D52</f>
        <v>0</v>
      </c>
      <c r="E52" s="39">
        <f>+'1.1.mell._ÖNK_Mérleg2014'!E52+'1.2.mell._PH_Mérleg2014'!E52+'1.3.mell._HVÓBKI_Mérleg2014'!E52+'1.4.mell._HKK_Mérleg2014'!E52</f>
        <v>0</v>
      </c>
      <c r="F52" s="44">
        <f>+'1.1.mell._ÖNK_Mérleg2014'!F52+'1.2.mell._PH_Mérleg2014'!F52+'1.3.mell._HVÓBKI_Mérleg2014'!F52+'1.4.mell._HKK_Mérleg2014'!F52</f>
        <v>0</v>
      </c>
    </row>
    <row r="53" spans="1:6" ht="12">
      <c r="A53" s="122" t="s">
        <v>227</v>
      </c>
      <c r="B53" s="112" t="s">
        <v>154</v>
      </c>
      <c r="C53" s="53">
        <f t="shared" si="3"/>
        <v>23356</v>
      </c>
      <c r="D53" s="54">
        <f>+'1.1.mell._ÖNK_Mérleg2014'!D53+'1.2.mell._PH_Mérleg2014'!D53+'1.3.mell._HVÓBKI_Mérleg2014'!D53+'1.4.mell._HKK_Mérleg2014'!D53</f>
        <v>23356</v>
      </c>
      <c r="E53" s="55">
        <f>+'1.1.mell._ÖNK_Mérleg2014'!E53+'1.2.mell._PH_Mérleg2014'!E53+'1.3.mell._HVÓBKI_Mérleg2014'!E53+'1.4.mell._HKK_Mérleg2014'!E53</f>
        <v>0</v>
      </c>
      <c r="F53" s="56">
        <f>+'1.1.mell._ÖNK_Mérleg2014'!F53+'1.2.mell._PH_Mérleg2014'!F53+'1.3.mell._HVÓBKI_Mérleg2014'!F53+'1.4.mell._HKK_Mérleg2014'!F53</f>
        <v>0</v>
      </c>
    </row>
    <row r="54" spans="1:6" s="41" customFormat="1" ht="12.75" thickBot="1">
      <c r="A54" s="133" t="s">
        <v>386</v>
      </c>
      <c r="B54" s="106" t="s">
        <v>394</v>
      </c>
      <c r="C54" s="85">
        <f t="shared" si="3"/>
        <v>23356</v>
      </c>
      <c r="D54" s="83">
        <f>+'1.1.mell._ÖNK_Mérleg2014'!D54+'1.2.mell._PH_Mérleg2014'!D54+'1.3.mell._HVÓBKI_Mérleg2014'!D54+'1.4.mell._HKK_Mérleg2014'!D54</f>
        <v>23356</v>
      </c>
      <c r="E54" s="81">
        <f>+'1.1.mell._ÖNK_Mérleg2014'!E54+'1.2.mell._PH_Mérleg2014'!E54+'1.3.mell._HVÓBKI_Mérleg2014'!E54+'1.4.mell._HKK_Mérleg2014'!E54</f>
        <v>0</v>
      </c>
      <c r="F54" s="82">
        <f>+'1.1.mell._ÖNK_Mérleg2014'!F54+'1.2.mell._PH_Mérleg2014'!F54+'1.3.mell._HVÓBKI_Mérleg2014'!F54+'1.4.mell._HKK_Mérleg2014'!F54</f>
        <v>0</v>
      </c>
    </row>
    <row r="55" spans="1:6" s="29" customFormat="1" ht="12.75" customHeight="1" thickBot="1">
      <c r="A55" s="127" t="s">
        <v>13</v>
      </c>
      <c r="B55" s="108" t="s">
        <v>342</v>
      </c>
      <c r="C55" s="71">
        <f>+C56+C57+C58+C59+C60</f>
        <v>300</v>
      </c>
      <c r="D55" s="60">
        <f>+D56+D57+D58+D59+D60</f>
        <v>0</v>
      </c>
      <c r="E55" s="61">
        <f>+E56+E57+E58+E59+E60</f>
        <v>300</v>
      </c>
      <c r="F55" s="62">
        <f>+F56+F57+F58+F59+F60</f>
        <v>0</v>
      </c>
    </row>
    <row r="56" spans="1:6" ht="12.75" customHeight="1">
      <c r="A56" s="128" t="s">
        <v>94</v>
      </c>
      <c r="B56" s="109" t="s">
        <v>155</v>
      </c>
      <c r="C56" s="63">
        <f>+D56+E56+F56</f>
        <v>0</v>
      </c>
      <c r="D56" s="68">
        <f>+'1.1.mell._ÖNK_Mérleg2014'!D56+'1.2.mell._PH_Mérleg2014'!D56+'1.3.mell._HVÓBKI_Mérleg2014'!D56+'1.4.mell._HKK_Mérleg2014'!D56</f>
        <v>0</v>
      </c>
      <c r="E56" s="38">
        <f>+'1.1.mell._ÖNK_Mérleg2014'!E56+'1.2.mell._PH_Mérleg2014'!E56+'1.3.mell._HVÓBKI_Mérleg2014'!E56+'1.4.mell._HKK_Mérleg2014'!E56</f>
        <v>0</v>
      </c>
      <c r="F56" s="69">
        <f>+'1.1.mell._ÖNK_Mérleg2014'!F56+'1.2.mell._PH_Mérleg2014'!F56+'1.3.mell._HVÓBKI_Mérleg2014'!F56+'1.4.mell._HKK_Mérleg2014'!F56</f>
        <v>0</v>
      </c>
    </row>
    <row r="57" spans="1:6" ht="12.75" customHeight="1">
      <c r="A57" s="129" t="s">
        <v>95</v>
      </c>
      <c r="B57" s="111" t="s">
        <v>156</v>
      </c>
      <c r="C57" s="50">
        <f>+D57+E57+F57</f>
        <v>300</v>
      </c>
      <c r="D57" s="48">
        <f>+'1.1.mell._ÖNK_Mérleg2014'!D57+'1.2.mell._PH_Mérleg2014'!D57+'1.3.mell._HVÓBKI_Mérleg2014'!D57+'1.4.mell._HKK_Mérleg2014'!D57</f>
        <v>0</v>
      </c>
      <c r="E57" s="39">
        <f>+'1.1.mell._ÖNK_Mérleg2014'!E57+'1.2.mell._PH_Mérleg2014'!E57+'1.3.mell._HVÓBKI_Mérleg2014'!E57+'1.4.mell._HKK_Mérleg2014'!E57</f>
        <v>300</v>
      </c>
      <c r="F57" s="44">
        <f>+'1.1.mell._ÖNK_Mérleg2014'!F57+'1.2.mell._PH_Mérleg2014'!F57+'1.3.mell._HVÓBKI_Mérleg2014'!F57+'1.4.mell._HKK_Mérleg2014'!F57</f>
        <v>0</v>
      </c>
    </row>
    <row r="58" spans="1:6" ht="12.75" customHeight="1">
      <c r="A58" s="129" t="s">
        <v>96</v>
      </c>
      <c r="B58" s="111" t="s">
        <v>157</v>
      </c>
      <c r="C58" s="50">
        <f>+D58+E58+F58</f>
        <v>0</v>
      </c>
      <c r="D58" s="48">
        <f>+'1.1.mell._ÖNK_Mérleg2014'!D58+'1.2.mell._PH_Mérleg2014'!D58+'1.3.mell._HVÓBKI_Mérleg2014'!D58+'1.4.mell._HKK_Mérleg2014'!D58</f>
        <v>0</v>
      </c>
      <c r="E58" s="39">
        <f>+'1.1.mell._ÖNK_Mérleg2014'!E58+'1.2.mell._PH_Mérleg2014'!E58+'1.3.mell._HVÓBKI_Mérleg2014'!E58+'1.4.mell._HKK_Mérleg2014'!E58</f>
        <v>0</v>
      </c>
      <c r="F58" s="44">
        <f>+'1.1.mell._ÖNK_Mérleg2014'!F58+'1.2.mell._PH_Mérleg2014'!F58+'1.3.mell._HVÓBKI_Mérleg2014'!F58+'1.4.mell._HKK_Mérleg2014'!F58</f>
        <v>0</v>
      </c>
    </row>
    <row r="59" spans="1:6" ht="12.75" customHeight="1">
      <c r="A59" s="129" t="s">
        <v>268</v>
      </c>
      <c r="B59" s="111" t="s">
        <v>158</v>
      </c>
      <c r="C59" s="50">
        <f>+D59+E59+F59</f>
        <v>0</v>
      </c>
      <c r="D59" s="48">
        <f>+'1.1.mell._ÖNK_Mérleg2014'!D59+'1.2.mell._PH_Mérleg2014'!D59+'1.3.mell._HVÓBKI_Mérleg2014'!D59+'1.4.mell._HKK_Mérleg2014'!D59</f>
        <v>0</v>
      </c>
      <c r="E59" s="39">
        <f>+'1.1.mell._ÖNK_Mérleg2014'!E59+'1.2.mell._PH_Mérleg2014'!E59+'1.3.mell._HVÓBKI_Mérleg2014'!E59+'1.4.mell._HKK_Mérleg2014'!E59</f>
        <v>0</v>
      </c>
      <c r="F59" s="44">
        <f>+'1.1.mell._ÖNK_Mérleg2014'!F59+'1.2.mell._PH_Mérleg2014'!F59+'1.3.mell._HVÓBKI_Mérleg2014'!F59+'1.4.mell._HKK_Mérleg2014'!F59</f>
        <v>0</v>
      </c>
    </row>
    <row r="60" spans="1:6" ht="12.75" customHeight="1" thickBot="1">
      <c r="A60" s="122" t="s">
        <v>269</v>
      </c>
      <c r="B60" s="112" t="s">
        <v>159</v>
      </c>
      <c r="C60" s="53">
        <f>+D60+E60+F60</f>
        <v>0</v>
      </c>
      <c r="D60" s="54">
        <f>+'1.1.mell._ÖNK_Mérleg2014'!D60+'1.2.mell._PH_Mérleg2014'!D60+'1.3.mell._HVÓBKI_Mérleg2014'!D60+'1.4.mell._HKK_Mérleg2014'!D60</f>
        <v>0</v>
      </c>
      <c r="E60" s="55">
        <f>+'1.1.mell._ÖNK_Mérleg2014'!E60+'1.2.mell._PH_Mérleg2014'!E60+'1.3.mell._HVÓBKI_Mérleg2014'!E60+'1.4.mell._HKK_Mérleg2014'!E60</f>
        <v>0</v>
      </c>
      <c r="F60" s="56">
        <f>+'1.1.mell._ÖNK_Mérleg2014'!F60+'1.2.mell._PH_Mérleg2014'!F60+'1.3.mell._HVÓBKI_Mérleg2014'!F60+'1.4.mell._HKK_Mérleg2014'!F60</f>
        <v>0</v>
      </c>
    </row>
    <row r="61" spans="1:6" s="29" customFormat="1" ht="12.75" thickBot="1">
      <c r="A61" s="127" t="s">
        <v>12</v>
      </c>
      <c r="B61" s="108" t="s">
        <v>343</v>
      </c>
      <c r="C61" s="71">
        <f>+C62+C63+C64</f>
        <v>2700</v>
      </c>
      <c r="D61" s="60">
        <f>+D62+D63+D64</f>
        <v>0</v>
      </c>
      <c r="E61" s="61">
        <f>+E62+E63+E64</f>
        <v>2700</v>
      </c>
      <c r="F61" s="62">
        <f>+F62+F63+F64</f>
        <v>0</v>
      </c>
    </row>
    <row r="62" spans="1:6" ht="12">
      <c r="A62" s="128" t="s">
        <v>97</v>
      </c>
      <c r="B62" s="109" t="s">
        <v>160</v>
      </c>
      <c r="C62" s="63">
        <f>+D62+E62+F62</f>
        <v>0</v>
      </c>
      <c r="D62" s="68">
        <f>+'1.1.mell._ÖNK_Mérleg2014'!D62+'1.2.mell._PH_Mérleg2014'!D62+'1.3.mell._HVÓBKI_Mérleg2014'!D62+'1.4.mell._HKK_Mérleg2014'!D62</f>
        <v>0</v>
      </c>
      <c r="E62" s="38">
        <f>+'1.1.mell._ÖNK_Mérleg2014'!E62+'1.2.mell._PH_Mérleg2014'!E62+'1.3.mell._HVÓBKI_Mérleg2014'!E62+'1.4.mell._HKK_Mérleg2014'!E62</f>
        <v>0</v>
      </c>
      <c r="F62" s="69">
        <f>+'1.1.mell._ÖNK_Mérleg2014'!F62+'1.2.mell._PH_Mérleg2014'!F62+'1.3.mell._HVÓBKI_Mérleg2014'!F62+'1.4.mell._HKK_Mérleg2014'!F62</f>
        <v>0</v>
      </c>
    </row>
    <row r="63" spans="1:6" ht="12">
      <c r="A63" s="129" t="s">
        <v>98</v>
      </c>
      <c r="B63" s="111" t="s">
        <v>161</v>
      </c>
      <c r="C63" s="50">
        <f>+D63+E63+F63</f>
        <v>0</v>
      </c>
      <c r="D63" s="48">
        <f>+'1.1.mell._ÖNK_Mérleg2014'!D63+'1.2.mell._PH_Mérleg2014'!D63+'1.3.mell._HVÓBKI_Mérleg2014'!D63+'1.4.mell._HKK_Mérleg2014'!D63</f>
        <v>0</v>
      </c>
      <c r="E63" s="39">
        <f>+'1.1.mell._ÖNK_Mérleg2014'!E63+'1.2.mell._PH_Mérleg2014'!E63+'1.3.mell._HVÓBKI_Mérleg2014'!E63+'1.4.mell._HKK_Mérleg2014'!E63</f>
        <v>0</v>
      </c>
      <c r="F63" s="44">
        <f>+'1.1.mell._ÖNK_Mérleg2014'!F63+'1.2.mell._PH_Mérleg2014'!F63+'1.3.mell._HVÓBKI_Mérleg2014'!F63+'1.4.mell._HKK_Mérleg2014'!F63</f>
        <v>0</v>
      </c>
    </row>
    <row r="64" spans="1:6" ht="12.75" thickBot="1">
      <c r="A64" s="122" t="s">
        <v>99</v>
      </c>
      <c r="B64" s="112" t="s">
        <v>162</v>
      </c>
      <c r="C64" s="53">
        <f>+D64+E64+F64</f>
        <v>2700</v>
      </c>
      <c r="D64" s="54">
        <f>+'1.1.mell._ÖNK_Mérleg2014'!D64+'1.2.mell._PH_Mérleg2014'!D64+'1.3.mell._HVÓBKI_Mérleg2014'!D64+'1.4.mell._HKK_Mérleg2014'!D64</f>
        <v>0</v>
      </c>
      <c r="E64" s="55">
        <f>+'1.1.mell._ÖNK_Mérleg2014'!E64+'1.2.mell._PH_Mérleg2014'!E64+'1.3.mell._HVÓBKI_Mérleg2014'!E64+'1.4.mell._HKK_Mérleg2014'!E64</f>
        <v>2700</v>
      </c>
      <c r="F64" s="56">
        <f>+'1.1.mell._ÖNK_Mérleg2014'!F64+'1.2.mell._PH_Mérleg2014'!F64+'1.3.mell._HVÓBKI_Mérleg2014'!F64+'1.4.mell._HKK_Mérleg2014'!F64</f>
        <v>0</v>
      </c>
    </row>
    <row r="65" spans="1:6" s="29" customFormat="1" ht="12.75" thickBot="1">
      <c r="A65" s="127" t="s">
        <v>11</v>
      </c>
      <c r="B65" s="113" t="s">
        <v>344</v>
      </c>
      <c r="C65" s="71">
        <f>+C10+C47</f>
        <v>1596867</v>
      </c>
      <c r="D65" s="60">
        <f>+D10+D47</f>
        <v>1562503</v>
      </c>
      <c r="E65" s="61">
        <f>+E10+E47</f>
        <v>34364</v>
      </c>
      <c r="F65" s="62">
        <f>+F10+F47</f>
        <v>0</v>
      </c>
    </row>
    <row r="66" spans="1:6" s="29" customFormat="1" ht="12.75" thickBot="1">
      <c r="A66" s="127" t="s">
        <v>10</v>
      </c>
      <c r="B66" s="114" t="s">
        <v>345</v>
      </c>
      <c r="C66" s="71">
        <f>+C67</f>
        <v>90036</v>
      </c>
      <c r="D66" s="60">
        <f>+D67</f>
        <v>90036</v>
      </c>
      <c r="E66" s="61">
        <f>+E67</f>
        <v>0</v>
      </c>
      <c r="F66" s="62">
        <f>+F67</f>
        <v>0</v>
      </c>
    </row>
    <row r="67" spans="1:6" s="29" customFormat="1" ht="12.75" thickBot="1">
      <c r="A67" s="127" t="s">
        <v>9</v>
      </c>
      <c r="B67" s="108" t="s">
        <v>346</v>
      </c>
      <c r="C67" s="71">
        <f>+C68+C77+C78</f>
        <v>90036</v>
      </c>
      <c r="D67" s="60">
        <f>+D68+D77+D78</f>
        <v>90036</v>
      </c>
      <c r="E67" s="61">
        <f>+E68+E77+E78</f>
        <v>0</v>
      </c>
      <c r="F67" s="62">
        <f>+F68+F77+F78</f>
        <v>0</v>
      </c>
    </row>
    <row r="68" spans="1:6" ht="12">
      <c r="A68" s="128" t="s">
        <v>101</v>
      </c>
      <c r="B68" s="109" t="s">
        <v>347</v>
      </c>
      <c r="C68" s="63">
        <f>+C69+C70+C71+C72+C73+C74+C75+C76</f>
        <v>90036</v>
      </c>
      <c r="D68" s="68">
        <f>+D69+D70+D71+D72+D73+D74+D75+D76</f>
        <v>90036</v>
      </c>
      <c r="E68" s="38">
        <f>+E69+E70+E71+E72+E73+E74+E75+E76</f>
        <v>0</v>
      </c>
      <c r="F68" s="69">
        <f>+F69+F70+F71+F72+F73+F74+F75+F76</f>
        <v>0</v>
      </c>
    </row>
    <row r="69" spans="1:6" s="41" customFormat="1" ht="12">
      <c r="A69" s="130" t="s">
        <v>234</v>
      </c>
      <c r="B69" s="110" t="s">
        <v>284</v>
      </c>
      <c r="C69" s="51">
        <f aca="true" t="shared" si="4" ref="C69:C78">+D69+E69+F69</f>
        <v>0</v>
      </c>
      <c r="D69" s="47">
        <f>+'1.1.mell._ÖNK_Mérleg2014'!D69+'1.2.mell._PH_Mérleg2014'!D69+'1.3.mell._HVÓBKI_Mérleg2014'!D69+'1.4.mell._HKK_Mérleg2014'!D69</f>
        <v>0</v>
      </c>
      <c r="E69" s="40">
        <f>+'1.1.mell._ÖNK_Mérleg2014'!E69+'1.2.mell._PH_Mérleg2014'!E69+'1.3.mell._HVÓBKI_Mérleg2014'!E69+'1.4.mell._HKK_Mérleg2014'!E69</f>
        <v>0</v>
      </c>
      <c r="F69" s="43">
        <f>+'1.1.mell._ÖNK_Mérleg2014'!F69+'1.2.mell._PH_Mérleg2014'!F69+'1.3.mell._HVÓBKI_Mérleg2014'!F69+'1.4.mell._HKK_Mérleg2014'!F69</f>
        <v>0</v>
      </c>
    </row>
    <row r="70" spans="1:6" s="41" customFormat="1" ht="12">
      <c r="A70" s="130" t="s">
        <v>235</v>
      </c>
      <c r="B70" s="110" t="s">
        <v>285</v>
      </c>
      <c r="C70" s="51">
        <f t="shared" si="4"/>
        <v>0</v>
      </c>
      <c r="D70" s="47">
        <f>+'1.1.mell._ÖNK_Mérleg2014'!D70+'1.2.mell._PH_Mérleg2014'!D70+'1.3.mell._HVÓBKI_Mérleg2014'!D70+'1.4.mell._HKK_Mérleg2014'!D70</f>
        <v>0</v>
      </c>
      <c r="E70" s="40">
        <f>+'1.1.mell._ÖNK_Mérleg2014'!E70+'1.2.mell._PH_Mérleg2014'!E70+'1.3.mell._HVÓBKI_Mérleg2014'!E70+'1.4.mell._HKK_Mérleg2014'!E70</f>
        <v>0</v>
      </c>
      <c r="F70" s="43">
        <f>+'1.1.mell._ÖNK_Mérleg2014'!F70+'1.2.mell._PH_Mérleg2014'!F70+'1.3.mell._HVÓBKI_Mérleg2014'!F70+'1.4.mell._HKK_Mérleg2014'!F70</f>
        <v>0</v>
      </c>
    </row>
    <row r="71" spans="1:6" s="41" customFormat="1" ht="12">
      <c r="A71" s="130" t="s">
        <v>236</v>
      </c>
      <c r="B71" s="110" t="s">
        <v>286</v>
      </c>
      <c r="C71" s="51">
        <f t="shared" si="4"/>
        <v>90036</v>
      </c>
      <c r="D71" s="47">
        <f>+'1.1.mell._ÖNK_Mérleg2014'!D71+'1.2.mell._PH_Mérleg2014'!D71+'1.3.mell._HVÓBKI_Mérleg2014'!D71+'1.4.mell._HKK_Mérleg2014'!D71</f>
        <v>90036</v>
      </c>
      <c r="E71" s="40">
        <f>+'1.1.mell._ÖNK_Mérleg2014'!E71+'1.2.mell._PH_Mérleg2014'!E71+'1.3.mell._HVÓBKI_Mérleg2014'!E71+'1.4.mell._HKK_Mérleg2014'!E71</f>
        <v>0</v>
      </c>
      <c r="F71" s="43">
        <f>+'1.1.mell._ÖNK_Mérleg2014'!F71+'1.2.mell._PH_Mérleg2014'!F71+'1.3.mell._HVÓBKI_Mérleg2014'!F71+'1.4.mell._HKK_Mérleg2014'!F71</f>
        <v>0</v>
      </c>
    </row>
    <row r="72" spans="1:6" s="41" customFormat="1" ht="12">
      <c r="A72" s="130" t="s">
        <v>237</v>
      </c>
      <c r="B72" s="110" t="s">
        <v>287</v>
      </c>
      <c r="C72" s="51">
        <f t="shared" si="4"/>
        <v>0</v>
      </c>
      <c r="D72" s="47">
        <f>+'1.1.mell._ÖNK_Mérleg2014'!D72+'1.2.mell._PH_Mérleg2014'!D72+'1.3.mell._HVÓBKI_Mérleg2014'!D72+'1.4.mell._HKK_Mérleg2014'!D72</f>
        <v>0</v>
      </c>
      <c r="E72" s="40">
        <f>+'1.1.mell._ÖNK_Mérleg2014'!E72+'1.2.mell._PH_Mérleg2014'!E72+'1.3.mell._HVÓBKI_Mérleg2014'!E72+'1.4.mell._HKK_Mérleg2014'!E72</f>
        <v>0</v>
      </c>
      <c r="F72" s="43">
        <f>+'1.1.mell._ÖNK_Mérleg2014'!F72+'1.2.mell._PH_Mérleg2014'!F72+'1.3.mell._HVÓBKI_Mérleg2014'!F72+'1.4.mell._HKK_Mérleg2014'!F72</f>
        <v>0</v>
      </c>
    </row>
    <row r="73" spans="1:6" s="41" customFormat="1" ht="12">
      <c r="A73" s="130" t="s">
        <v>238</v>
      </c>
      <c r="B73" s="110" t="s">
        <v>288</v>
      </c>
      <c r="C73" s="51">
        <f t="shared" si="4"/>
        <v>0</v>
      </c>
      <c r="D73" s="47">
        <f>+'1.1.mell._ÖNK_Mérleg2014'!D73+'1.2.mell._PH_Mérleg2014'!D73+'1.3.mell._HVÓBKI_Mérleg2014'!D73+'1.4.mell._HKK_Mérleg2014'!D73</f>
        <v>0</v>
      </c>
      <c r="E73" s="40">
        <f>+'1.1.mell._ÖNK_Mérleg2014'!E73+'1.2.mell._PH_Mérleg2014'!E73+'1.3.mell._HVÓBKI_Mérleg2014'!E73+'1.4.mell._HKK_Mérleg2014'!E73</f>
        <v>0</v>
      </c>
      <c r="F73" s="43">
        <f>+'1.1.mell._ÖNK_Mérleg2014'!F73+'1.2.mell._PH_Mérleg2014'!F73+'1.3.mell._HVÓBKI_Mérleg2014'!F73+'1.4.mell._HKK_Mérleg2014'!F73</f>
        <v>0</v>
      </c>
    </row>
    <row r="74" spans="1:6" s="41" customFormat="1" ht="12">
      <c r="A74" s="151" t="s">
        <v>239</v>
      </c>
      <c r="B74" s="152" t="s">
        <v>289</v>
      </c>
      <c r="C74" s="153">
        <f t="shared" si="4"/>
        <v>0</v>
      </c>
      <c r="D74" s="154"/>
      <c r="E74" s="155"/>
      <c r="F74" s="156"/>
    </row>
    <row r="75" spans="1:6" s="41" customFormat="1" ht="12">
      <c r="A75" s="130" t="s">
        <v>242</v>
      </c>
      <c r="B75" s="110" t="s">
        <v>290</v>
      </c>
      <c r="C75" s="51">
        <f t="shared" si="4"/>
        <v>0</v>
      </c>
      <c r="D75" s="47">
        <f>+'1.1.mell._ÖNK_Mérleg2014'!D75+'1.2.mell._PH_Mérleg2014'!D75+'1.3.mell._HVÓBKI_Mérleg2014'!D75+'1.4.mell._HKK_Mérleg2014'!D75</f>
        <v>0</v>
      </c>
      <c r="E75" s="40">
        <f>+'1.1.mell._ÖNK_Mérleg2014'!E75+'1.2.mell._PH_Mérleg2014'!E75+'1.3.mell._HVÓBKI_Mérleg2014'!E75+'1.4.mell._HKK_Mérleg2014'!E75</f>
        <v>0</v>
      </c>
      <c r="F75" s="43">
        <f>+'1.1.mell._ÖNK_Mérleg2014'!F75+'1.2.mell._PH_Mérleg2014'!F75+'1.3.mell._HVÓBKI_Mérleg2014'!F75+'1.4.mell._HKK_Mérleg2014'!F75</f>
        <v>0</v>
      </c>
    </row>
    <row r="76" spans="1:6" s="41" customFormat="1" ht="12">
      <c r="A76" s="130" t="s">
        <v>240</v>
      </c>
      <c r="B76" s="110" t="s">
        <v>283</v>
      </c>
      <c r="C76" s="51">
        <f t="shared" si="4"/>
        <v>0</v>
      </c>
      <c r="D76" s="47">
        <f>+'1.1.mell._ÖNK_Mérleg2014'!D76+'1.2.mell._PH_Mérleg2014'!D76+'1.3.mell._HVÓBKI_Mérleg2014'!D76+'1.4.mell._HKK_Mérleg2014'!D76</f>
        <v>0</v>
      </c>
      <c r="E76" s="40">
        <f>+'1.1.mell._ÖNK_Mérleg2014'!E76+'1.2.mell._PH_Mérleg2014'!E76+'1.3.mell._HVÓBKI_Mérleg2014'!E76+'1.4.mell._HKK_Mérleg2014'!E76</f>
        <v>0</v>
      </c>
      <c r="F76" s="43">
        <f>+'1.1.mell._ÖNK_Mérleg2014'!F76+'1.2.mell._PH_Mérleg2014'!F76+'1.3.mell._HVÓBKI_Mérleg2014'!F76+'1.4.mell._HKK_Mérleg2014'!F76</f>
        <v>0</v>
      </c>
    </row>
    <row r="77" spans="1:6" ht="12">
      <c r="A77" s="129" t="s">
        <v>102</v>
      </c>
      <c r="B77" s="111" t="s">
        <v>281</v>
      </c>
      <c r="C77" s="50">
        <f t="shared" si="4"/>
        <v>0</v>
      </c>
      <c r="D77" s="48">
        <f>+'1.1.mell._ÖNK_Mérleg2014'!D77+'1.2.mell._PH_Mérleg2014'!D77+'1.3.mell._HVÓBKI_Mérleg2014'!D77+'1.4.mell._HKK_Mérleg2014'!D77</f>
        <v>0</v>
      </c>
      <c r="E77" s="39">
        <f>+'1.1.mell._ÖNK_Mérleg2014'!E77+'1.2.mell._PH_Mérleg2014'!E77+'1.3.mell._HVÓBKI_Mérleg2014'!E77+'1.4.mell._HKK_Mérleg2014'!E77</f>
        <v>0</v>
      </c>
      <c r="F77" s="44">
        <f>+'1.1.mell._ÖNK_Mérleg2014'!F77+'1.2.mell._PH_Mérleg2014'!F77+'1.3.mell._HVÓBKI_Mérleg2014'!F77+'1.4.mell._HKK_Mérleg2014'!F77</f>
        <v>0</v>
      </c>
    </row>
    <row r="78" spans="1:6" ht="12.75" thickBot="1">
      <c r="A78" s="122" t="s">
        <v>241</v>
      </c>
      <c r="B78" s="112" t="s">
        <v>282</v>
      </c>
      <c r="C78" s="53">
        <f t="shared" si="4"/>
        <v>0</v>
      </c>
      <c r="D78" s="54">
        <f>+'1.1.mell._ÖNK_Mérleg2014'!D78+'1.2.mell._PH_Mérleg2014'!D78+'1.3.mell._HVÓBKI_Mérleg2014'!D78+'1.4.mell._HKK_Mérleg2014'!D78</f>
        <v>0</v>
      </c>
      <c r="E78" s="55">
        <f>+'1.1.mell._ÖNK_Mérleg2014'!E78+'1.2.mell._PH_Mérleg2014'!E78+'1.3.mell._HVÓBKI_Mérleg2014'!E78+'1.4.mell._HKK_Mérleg2014'!E78</f>
        <v>0</v>
      </c>
      <c r="F78" s="56">
        <f>+'1.1.mell._ÖNK_Mérleg2014'!F78+'1.2.mell._PH_Mérleg2014'!F78+'1.3.mell._HVÓBKI_Mérleg2014'!F78+'1.4.mell._HKK_Mérleg2014'!F78</f>
        <v>0</v>
      </c>
    </row>
    <row r="79" spans="1:6" s="29" customFormat="1" ht="12.75" thickBot="1">
      <c r="A79" s="127" t="s">
        <v>73</v>
      </c>
      <c r="B79" s="114" t="s">
        <v>348</v>
      </c>
      <c r="C79" s="71">
        <f>+C80</f>
        <v>0</v>
      </c>
      <c r="D79" s="60">
        <f>+D80</f>
        <v>0</v>
      </c>
      <c r="E79" s="61">
        <f>+E80</f>
        <v>0</v>
      </c>
      <c r="F79" s="62">
        <f>+F80</f>
        <v>0</v>
      </c>
    </row>
    <row r="80" spans="1:6" s="29" customFormat="1" ht="12.75" thickBot="1">
      <c r="A80" s="127" t="s">
        <v>72</v>
      </c>
      <c r="B80" s="108" t="s">
        <v>349</v>
      </c>
      <c r="C80" s="71">
        <f>+C81+C90+C91</f>
        <v>0</v>
      </c>
      <c r="D80" s="60">
        <f>+D81+D90+D91</f>
        <v>0</v>
      </c>
      <c r="E80" s="61">
        <f>+E81+E90+E91</f>
        <v>0</v>
      </c>
      <c r="F80" s="62">
        <f>+F81+F90+F91</f>
        <v>0</v>
      </c>
    </row>
    <row r="81" spans="1:6" ht="12">
      <c r="A81" s="128" t="s">
        <v>270</v>
      </c>
      <c r="B81" s="109" t="s">
        <v>350</v>
      </c>
      <c r="C81" s="63">
        <f>+C82+C83+C84+C85+C86+C87+C88+C89</f>
        <v>0</v>
      </c>
      <c r="D81" s="68">
        <f>+D82+D83+D84+D85+D86+D87+D88+D89</f>
        <v>0</v>
      </c>
      <c r="E81" s="38">
        <f>+E82+E83+E84+E85+E86+E87+E88+E89</f>
        <v>0</v>
      </c>
      <c r="F81" s="69">
        <f>+F82+F83+F84+F85+F86+F87+F88+F89</f>
        <v>0</v>
      </c>
    </row>
    <row r="82" spans="1:6" s="41" customFormat="1" ht="12">
      <c r="A82" s="130" t="s">
        <v>271</v>
      </c>
      <c r="B82" s="110" t="s">
        <v>284</v>
      </c>
      <c r="C82" s="51">
        <f aca="true" t="shared" si="5" ref="C82:C91">+D82+E82+F82</f>
        <v>0</v>
      </c>
      <c r="D82" s="47">
        <f>+'1.1.mell._ÖNK_Mérleg2014'!D82+'1.2.mell._PH_Mérleg2014'!D82+'1.3.mell._HVÓBKI_Mérleg2014'!D82+'1.4.mell._HKK_Mérleg2014'!D82</f>
        <v>0</v>
      </c>
      <c r="E82" s="40">
        <f>+'1.1.mell._ÖNK_Mérleg2014'!E82+'1.2.mell._PH_Mérleg2014'!E82+'1.3.mell._HVÓBKI_Mérleg2014'!E82+'1.4.mell._HKK_Mérleg2014'!E82</f>
        <v>0</v>
      </c>
      <c r="F82" s="43">
        <f>+'1.1.mell._ÖNK_Mérleg2014'!F82+'1.2.mell._PH_Mérleg2014'!F82+'1.3.mell._HVÓBKI_Mérleg2014'!F82+'1.4.mell._HKK_Mérleg2014'!F82</f>
        <v>0</v>
      </c>
    </row>
    <row r="83" spans="1:6" s="41" customFormat="1" ht="12">
      <c r="A83" s="130" t="s">
        <v>272</v>
      </c>
      <c r="B83" s="110" t="s">
        <v>285</v>
      </c>
      <c r="C83" s="51">
        <f t="shared" si="5"/>
        <v>0</v>
      </c>
      <c r="D83" s="47">
        <f>+'1.1.mell._ÖNK_Mérleg2014'!D83+'1.2.mell._PH_Mérleg2014'!D83+'1.3.mell._HVÓBKI_Mérleg2014'!D83+'1.4.mell._HKK_Mérleg2014'!D83</f>
        <v>0</v>
      </c>
      <c r="E83" s="40">
        <f>+'1.1.mell._ÖNK_Mérleg2014'!E83+'1.2.mell._PH_Mérleg2014'!E83+'1.3.mell._HVÓBKI_Mérleg2014'!E83+'1.4.mell._HKK_Mérleg2014'!E83</f>
        <v>0</v>
      </c>
      <c r="F83" s="43">
        <f>+'1.1.mell._ÖNK_Mérleg2014'!F83+'1.2.mell._PH_Mérleg2014'!F83+'1.3.mell._HVÓBKI_Mérleg2014'!F83+'1.4.mell._HKK_Mérleg2014'!F83</f>
        <v>0</v>
      </c>
    </row>
    <row r="84" spans="1:6" s="41" customFormat="1" ht="12">
      <c r="A84" s="130" t="s">
        <v>273</v>
      </c>
      <c r="B84" s="110" t="s">
        <v>286</v>
      </c>
      <c r="C84" s="51">
        <f t="shared" si="5"/>
        <v>0</v>
      </c>
      <c r="D84" s="47">
        <f>+'1.1.mell._ÖNK_Mérleg2014'!D84+'1.2.mell._PH_Mérleg2014'!D84+'1.3.mell._HVÓBKI_Mérleg2014'!D84+'1.4.mell._HKK_Mérleg2014'!D84</f>
        <v>0</v>
      </c>
      <c r="E84" s="40">
        <f>+'1.1.mell._ÖNK_Mérleg2014'!E84+'1.2.mell._PH_Mérleg2014'!E84+'1.3.mell._HVÓBKI_Mérleg2014'!E84+'1.4.mell._HKK_Mérleg2014'!E84</f>
        <v>0</v>
      </c>
      <c r="F84" s="43">
        <f>+'1.1.mell._ÖNK_Mérleg2014'!F84+'1.2.mell._PH_Mérleg2014'!F84+'1.3.mell._HVÓBKI_Mérleg2014'!F84+'1.4.mell._HKK_Mérleg2014'!F84</f>
        <v>0</v>
      </c>
    </row>
    <row r="85" spans="1:6" s="41" customFormat="1" ht="12">
      <c r="A85" s="130" t="s">
        <v>274</v>
      </c>
      <c r="B85" s="110" t="s">
        <v>287</v>
      </c>
      <c r="C85" s="51">
        <f t="shared" si="5"/>
        <v>0</v>
      </c>
      <c r="D85" s="47">
        <f>+'1.1.mell._ÖNK_Mérleg2014'!D85+'1.2.mell._PH_Mérleg2014'!D85+'1.3.mell._HVÓBKI_Mérleg2014'!D85+'1.4.mell._HKK_Mérleg2014'!D85</f>
        <v>0</v>
      </c>
      <c r="E85" s="40">
        <f>+'1.1.mell._ÖNK_Mérleg2014'!E85+'1.2.mell._PH_Mérleg2014'!E85+'1.3.mell._HVÓBKI_Mérleg2014'!E85+'1.4.mell._HKK_Mérleg2014'!E85</f>
        <v>0</v>
      </c>
      <c r="F85" s="43">
        <f>+'1.1.mell._ÖNK_Mérleg2014'!F85+'1.2.mell._PH_Mérleg2014'!F85+'1.3.mell._HVÓBKI_Mérleg2014'!F85+'1.4.mell._HKK_Mérleg2014'!F85</f>
        <v>0</v>
      </c>
    </row>
    <row r="86" spans="1:6" s="41" customFormat="1" ht="12">
      <c r="A86" s="130" t="s">
        <v>275</v>
      </c>
      <c r="B86" s="110" t="s">
        <v>288</v>
      </c>
      <c r="C86" s="51">
        <f t="shared" si="5"/>
        <v>0</v>
      </c>
      <c r="D86" s="47">
        <f>+'1.1.mell._ÖNK_Mérleg2014'!D86+'1.2.mell._PH_Mérleg2014'!D86+'1.3.mell._HVÓBKI_Mérleg2014'!D86+'1.4.mell._HKK_Mérleg2014'!D86</f>
        <v>0</v>
      </c>
      <c r="E86" s="40">
        <f>+'1.1.mell._ÖNK_Mérleg2014'!E86+'1.2.mell._PH_Mérleg2014'!E86+'1.3.mell._HVÓBKI_Mérleg2014'!E86+'1.4.mell._HKK_Mérleg2014'!E86</f>
        <v>0</v>
      </c>
      <c r="F86" s="43">
        <f>+'1.1.mell._ÖNK_Mérleg2014'!F86+'1.2.mell._PH_Mérleg2014'!F86+'1.3.mell._HVÓBKI_Mérleg2014'!F86+'1.4.mell._HKK_Mérleg2014'!F86</f>
        <v>0</v>
      </c>
    </row>
    <row r="87" spans="1:6" s="41" customFormat="1" ht="12">
      <c r="A87" s="151" t="s">
        <v>276</v>
      </c>
      <c r="B87" s="152" t="s">
        <v>289</v>
      </c>
      <c r="C87" s="153">
        <f t="shared" si="5"/>
        <v>0</v>
      </c>
      <c r="D87" s="154"/>
      <c r="E87" s="155"/>
      <c r="F87" s="156"/>
    </row>
    <row r="88" spans="1:6" s="41" customFormat="1" ht="12">
      <c r="A88" s="130" t="s">
        <v>277</v>
      </c>
      <c r="B88" s="110" t="s">
        <v>290</v>
      </c>
      <c r="C88" s="51">
        <f t="shared" si="5"/>
        <v>0</v>
      </c>
      <c r="D88" s="47">
        <f>+'1.1.mell._ÖNK_Mérleg2014'!D88+'1.2.mell._PH_Mérleg2014'!D88+'1.3.mell._HVÓBKI_Mérleg2014'!D88+'1.4.mell._HKK_Mérleg2014'!D88</f>
        <v>0</v>
      </c>
      <c r="E88" s="40">
        <f>+'1.1.mell._ÖNK_Mérleg2014'!E88+'1.2.mell._PH_Mérleg2014'!E88+'1.3.mell._HVÓBKI_Mérleg2014'!E88+'1.4.mell._HKK_Mérleg2014'!E88</f>
        <v>0</v>
      </c>
      <c r="F88" s="43">
        <f>+'1.1.mell._ÖNK_Mérleg2014'!F88+'1.2.mell._PH_Mérleg2014'!F88+'1.3.mell._HVÓBKI_Mérleg2014'!F88+'1.4.mell._HKK_Mérleg2014'!F88</f>
        <v>0</v>
      </c>
    </row>
    <row r="89" spans="1:6" s="41" customFormat="1" ht="12">
      <c r="A89" s="130" t="s">
        <v>278</v>
      </c>
      <c r="B89" s="110" t="s">
        <v>283</v>
      </c>
      <c r="C89" s="51">
        <f t="shared" si="5"/>
        <v>0</v>
      </c>
      <c r="D89" s="47">
        <f>+'1.1.mell._ÖNK_Mérleg2014'!D89+'1.2.mell._PH_Mérleg2014'!D89+'1.3.mell._HVÓBKI_Mérleg2014'!D89+'1.4.mell._HKK_Mérleg2014'!D89</f>
        <v>0</v>
      </c>
      <c r="E89" s="40">
        <f>+'1.1.mell._ÖNK_Mérleg2014'!E89+'1.2.mell._PH_Mérleg2014'!E89+'1.3.mell._HVÓBKI_Mérleg2014'!E89+'1.4.mell._HKK_Mérleg2014'!E89</f>
        <v>0</v>
      </c>
      <c r="F89" s="43">
        <f>+'1.1.mell._ÖNK_Mérleg2014'!F89+'1.2.mell._PH_Mérleg2014'!F89+'1.3.mell._HVÓBKI_Mérleg2014'!F89+'1.4.mell._HKK_Mérleg2014'!F89</f>
        <v>0</v>
      </c>
    </row>
    <row r="90" spans="1:6" ht="12">
      <c r="A90" s="129" t="s">
        <v>279</v>
      </c>
      <c r="B90" s="111" t="s">
        <v>281</v>
      </c>
      <c r="C90" s="50">
        <f t="shared" si="5"/>
        <v>0</v>
      </c>
      <c r="D90" s="48">
        <f>+'1.1.mell._ÖNK_Mérleg2014'!D90+'1.2.mell._PH_Mérleg2014'!D90+'1.3.mell._HVÓBKI_Mérleg2014'!D90+'1.4.mell._HKK_Mérleg2014'!D90</f>
        <v>0</v>
      </c>
      <c r="E90" s="39">
        <f>+'1.1.mell._ÖNK_Mérleg2014'!E90+'1.2.mell._PH_Mérleg2014'!E90+'1.3.mell._HVÓBKI_Mérleg2014'!E90+'1.4.mell._HKK_Mérleg2014'!E90</f>
        <v>0</v>
      </c>
      <c r="F90" s="44">
        <f>+'1.1.mell._ÖNK_Mérleg2014'!F90+'1.2.mell._PH_Mérleg2014'!F90+'1.3.mell._HVÓBKI_Mérleg2014'!F90+'1.4.mell._HKK_Mérleg2014'!F90</f>
        <v>0</v>
      </c>
    </row>
    <row r="91" spans="1:6" ht="12.75" thickBot="1">
      <c r="A91" s="122" t="s">
        <v>280</v>
      </c>
      <c r="B91" s="112" t="s">
        <v>282</v>
      </c>
      <c r="C91" s="53">
        <f t="shared" si="5"/>
        <v>0</v>
      </c>
      <c r="D91" s="54">
        <f>+'1.1.mell._ÖNK_Mérleg2014'!D91+'1.2.mell._PH_Mérleg2014'!D91+'1.3.mell._HVÓBKI_Mérleg2014'!D91+'1.4.mell._HKK_Mérleg2014'!D91</f>
        <v>0</v>
      </c>
      <c r="E91" s="55">
        <f>+'1.1.mell._ÖNK_Mérleg2014'!E91+'1.2.mell._PH_Mérleg2014'!E91+'1.3.mell._HVÓBKI_Mérleg2014'!E91+'1.4.mell._HKK_Mérleg2014'!E91</f>
        <v>0</v>
      </c>
      <c r="F91" s="56">
        <f>+'1.1.mell._ÖNK_Mérleg2014'!F91+'1.2.mell._PH_Mérleg2014'!F91+'1.3.mell._HVÓBKI_Mérleg2014'!F91+'1.4.mell._HKK_Mérleg2014'!F91</f>
        <v>0</v>
      </c>
    </row>
    <row r="92" spans="1:6" s="29" customFormat="1" ht="12.75" thickBot="1">
      <c r="A92" s="127" t="s">
        <v>71</v>
      </c>
      <c r="B92" s="113" t="s">
        <v>351</v>
      </c>
      <c r="C92" s="71">
        <f>+C66+C79</f>
        <v>90036</v>
      </c>
      <c r="D92" s="60">
        <f>+D66+D79</f>
        <v>90036</v>
      </c>
      <c r="E92" s="61">
        <f>+E66+E79</f>
        <v>0</v>
      </c>
      <c r="F92" s="62">
        <f>+F66+F79</f>
        <v>0</v>
      </c>
    </row>
    <row r="93" spans="1:6" s="29" customFormat="1" ht="12.75" thickBot="1">
      <c r="A93" s="131" t="s">
        <v>68</v>
      </c>
      <c r="B93" s="115" t="s">
        <v>352</v>
      </c>
      <c r="C93" s="72">
        <f>+C65+C92</f>
        <v>1686903</v>
      </c>
      <c r="D93" s="57">
        <f>+D65+D92</f>
        <v>1652539</v>
      </c>
      <c r="E93" s="58">
        <f>+E65+E92</f>
        <v>34364</v>
      </c>
      <c r="F93" s="59">
        <f>+F65+F92</f>
        <v>0</v>
      </c>
    </row>
    <row r="94" spans="1:6" s="29" customFormat="1" ht="12">
      <c r="A94" s="93"/>
      <c r="B94" s="64"/>
      <c r="C94" s="64"/>
      <c r="D94" s="64"/>
      <c r="E94" s="64"/>
      <c r="F94" s="64"/>
    </row>
    <row r="95" spans="1:6" s="29" customFormat="1" ht="12">
      <c r="A95" s="93"/>
      <c r="B95" s="64"/>
      <c r="C95" s="64"/>
      <c r="D95" s="64"/>
      <c r="E95" s="64"/>
      <c r="F95" s="64"/>
    </row>
    <row r="96" spans="1:6" s="92" customFormat="1" ht="15.75">
      <c r="A96" s="1298" t="s">
        <v>108</v>
      </c>
      <c r="B96" s="1298"/>
      <c r="C96" s="1298"/>
      <c r="D96" s="1298"/>
      <c r="E96" s="1298"/>
      <c r="F96" s="1298"/>
    </row>
    <row r="97" spans="1:6" s="73" customFormat="1" ht="12.75" thickBot="1">
      <c r="A97" s="75" t="s">
        <v>317</v>
      </c>
      <c r="F97" s="74" t="s">
        <v>319</v>
      </c>
    </row>
    <row r="98" spans="1:6" s="29" customFormat="1" ht="48.75" thickBot="1">
      <c r="A98" s="123" t="s">
        <v>17</v>
      </c>
      <c r="B98" s="124" t="s">
        <v>379</v>
      </c>
      <c r="C98" s="76" t="s">
        <v>419</v>
      </c>
      <c r="D98" s="32" t="s">
        <v>79</v>
      </c>
      <c r="E98" s="33" t="s">
        <v>80</v>
      </c>
      <c r="F98" s="34" t="s">
        <v>81</v>
      </c>
    </row>
    <row r="99" spans="1:6" s="29" customFormat="1" ht="12.75" thickBot="1">
      <c r="A99" s="125" t="s">
        <v>291</v>
      </c>
      <c r="B99" s="126" t="s">
        <v>292</v>
      </c>
      <c r="C99" s="1303" t="s">
        <v>293</v>
      </c>
      <c r="D99" s="1304"/>
      <c r="E99" s="1304"/>
      <c r="F99" s="1305"/>
    </row>
    <row r="100" spans="1:6" s="29" customFormat="1" ht="12.75" thickBot="1">
      <c r="A100" s="127" t="s">
        <v>4</v>
      </c>
      <c r="B100" s="113" t="s">
        <v>353</v>
      </c>
      <c r="C100" s="71">
        <f>+C101+C105+C107+C114+C123</f>
        <v>1575124</v>
      </c>
      <c r="D100" s="60">
        <f>+D101+D105+D107+D114+D123</f>
        <v>1539160</v>
      </c>
      <c r="E100" s="61">
        <f>+E101+E105+E107+E114+E123</f>
        <v>35964</v>
      </c>
      <c r="F100" s="62">
        <f>+F101+F105+F107+F114+F123</f>
        <v>0</v>
      </c>
    </row>
    <row r="101" spans="1:6" s="29" customFormat="1" ht="12.75" thickBot="1">
      <c r="A101" s="127" t="s">
        <v>5</v>
      </c>
      <c r="B101" s="108" t="s">
        <v>354</v>
      </c>
      <c r="C101" s="71">
        <f>+C103+C104</f>
        <v>523384</v>
      </c>
      <c r="D101" s="60">
        <f>+D103+D104</f>
        <v>518480</v>
      </c>
      <c r="E101" s="61">
        <f>+E103+E104</f>
        <v>4904</v>
      </c>
      <c r="F101" s="62">
        <f>+F103+F104</f>
        <v>0</v>
      </c>
    </row>
    <row r="102" spans="1:6" s="73" customFormat="1" ht="12">
      <c r="A102" s="140" t="s">
        <v>406</v>
      </c>
      <c r="B102" s="141" t="s">
        <v>407</v>
      </c>
      <c r="C102" s="142">
        <f>+D102+E102+F102</f>
        <v>0</v>
      </c>
      <c r="D102" s="143">
        <f>+'1.1.mell._ÖNK_Mérleg2014'!D102+'1.2.mell._PH_Mérleg2014'!D102+'1.3.mell._HVÓBKI_Mérleg2014'!D102+'1.4.mell._HKK_Mérleg2014'!D102</f>
        <v>0</v>
      </c>
      <c r="E102" s="144">
        <f>+'1.1.mell._ÖNK_Mérleg2014'!E102+'1.2.mell._PH_Mérleg2014'!E102+'1.3.mell._HVÓBKI_Mérleg2014'!E102+'1.4.mell._HKK_Mérleg2014'!E102</f>
        <v>0</v>
      </c>
      <c r="F102" s="145">
        <f>+'1.1.mell._ÖNK_Mérleg2014'!F102+'1.2.mell._PH_Mérleg2014'!F102+'1.3.mell._HVÓBKI_Mérleg2014'!F102+'1.4.mell._HKK_Mérleg2014'!F102</f>
        <v>0</v>
      </c>
    </row>
    <row r="103" spans="1:6" ht="12">
      <c r="A103" s="128" t="s">
        <v>82</v>
      </c>
      <c r="B103" s="109" t="s">
        <v>163</v>
      </c>
      <c r="C103" s="63">
        <f>+D103+E103+F103</f>
        <v>499125</v>
      </c>
      <c r="D103" s="68">
        <f>+'1.1.mell._ÖNK_Mérleg2014'!D103+'1.2.mell._PH_Mérleg2014'!D103+'1.3.mell._HVÓBKI_Mérleg2014'!D103+'1.4.mell._HKK_Mérleg2014'!D103</f>
        <v>494221</v>
      </c>
      <c r="E103" s="38">
        <f>+'1.1.mell._ÖNK_Mérleg2014'!E103+'1.2.mell._PH_Mérleg2014'!E103+'1.3.mell._HVÓBKI_Mérleg2014'!E103+'1.4.mell._HKK_Mérleg2014'!E103</f>
        <v>4904</v>
      </c>
      <c r="F103" s="69">
        <f>+'1.1.mell._ÖNK_Mérleg2014'!F103+'1.2.mell._PH_Mérleg2014'!F103+'1.3.mell._HVÓBKI_Mérleg2014'!F103+'1.4.mell._HKK_Mérleg2014'!F103</f>
        <v>0</v>
      </c>
    </row>
    <row r="104" spans="1:6" ht="12.75" thickBot="1">
      <c r="A104" s="122" t="s">
        <v>83</v>
      </c>
      <c r="B104" s="112" t="s">
        <v>164</v>
      </c>
      <c r="C104" s="53">
        <f>+D104+E104+F104</f>
        <v>24259</v>
      </c>
      <c r="D104" s="54">
        <f>+'1.1.mell._ÖNK_Mérleg2014'!D104+'1.2.mell._PH_Mérleg2014'!D104+'1.3.mell._HVÓBKI_Mérleg2014'!D104+'1.4.mell._HKK_Mérleg2014'!D104</f>
        <v>24259</v>
      </c>
      <c r="E104" s="55">
        <f>+'1.1.mell._ÖNK_Mérleg2014'!E104+'1.2.mell._PH_Mérleg2014'!E104+'1.3.mell._HVÓBKI_Mérleg2014'!E104+'1.4.mell._HKK_Mérleg2014'!E104</f>
        <v>0</v>
      </c>
      <c r="F104" s="56">
        <f>+'1.1.mell._ÖNK_Mérleg2014'!F104+'1.2.mell._PH_Mérleg2014'!F104+'1.3.mell._HVÓBKI_Mérleg2014'!F104+'1.4.mell._HKK_Mérleg2014'!F104</f>
        <v>0</v>
      </c>
    </row>
    <row r="105" spans="1:6" s="29" customFormat="1" ht="12.75" thickBot="1">
      <c r="A105" s="127" t="s">
        <v>6</v>
      </c>
      <c r="B105" s="108" t="s">
        <v>294</v>
      </c>
      <c r="C105" s="71">
        <f>+D105+E105+F105</f>
        <v>110637</v>
      </c>
      <c r="D105" s="60">
        <f>+'1.1.mell._ÖNK_Mérleg2014'!D105+'1.2.mell._PH_Mérleg2014'!D105+'1.3.mell._HVÓBKI_Mérleg2014'!D105+'1.4.mell._HKK_Mérleg2014'!D105</f>
        <v>109362</v>
      </c>
      <c r="E105" s="61">
        <f>+'1.1.mell._ÖNK_Mérleg2014'!E105+'1.2.mell._PH_Mérleg2014'!E105+'1.3.mell._HVÓBKI_Mérleg2014'!E105+'1.4.mell._HKK_Mérleg2014'!E105</f>
        <v>1275</v>
      </c>
      <c r="F105" s="62">
        <f>+'1.1.mell._ÖNK_Mérleg2014'!F105+'1.2.mell._PH_Mérleg2014'!F105+'1.3.mell._HVÓBKI_Mérleg2014'!F105+'1.4.mell._HKK_Mérleg2014'!F105</f>
        <v>0</v>
      </c>
    </row>
    <row r="106" spans="1:6" s="73" customFormat="1" ht="12.75" thickBot="1">
      <c r="A106" s="140" t="s">
        <v>403</v>
      </c>
      <c r="B106" s="141" t="s">
        <v>404</v>
      </c>
      <c r="C106" s="142">
        <f>+D106+E106+F106</f>
        <v>0</v>
      </c>
      <c r="D106" s="143">
        <f>+'1.1.mell._ÖNK_Mérleg2014'!D106+'1.2.mell._PH_Mérleg2014'!D106+'1.3.mell._HVÓBKI_Mérleg2014'!D106+'1.4.mell._HKK_Mérleg2014'!D106</f>
        <v>0</v>
      </c>
      <c r="E106" s="144">
        <f>+'1.1.mell._ÖNK_Mérleg2014'!E106+'1.2.mell._PH_Mérleg2014'!E106+'1.3.mell._HVÓBKI_Mérleg2014'!E106+'1.4.mell._HKK_Mérleg2014'!E106</f>
        <v>0</v>
      </c>
      <c r="F106" s="145">
        <f>+'1.1.mell._ÖNK_Mérleg2014'!F106+'1.2.mell._PH_Mérleg2014'!F106+'1.3.mell._HVÓBKI_Mérleg2014'!F106+'1.4.mell._HKK_Mérleg2014'!F106</f>
        <v>0</v>
      </c>
    </row>
    <row r="107" spans="1:6" s="29" customFormat="1" ht="12.75" thickBot="1">
      <c r="A107" s="127" t="s">
        <v>3</v>
      </c>
      <c r="B107" s="108" t="s">
        <v>400</v>
      </c>
      <c r="C107" s="71">
        <f>+C109+C110+C111+C112+C113</f>
        <v>581830</v>
      </c>
      <c r="D107" s="60">
        <f>+D109+D110+D111+D112+D113</f>
        <v>554795</v>
      </c>
      <c r="E107" s="61">
        <f>+E109+E110+E111+E112+E113</f>
        <v>27035</v>
      </c>
      <c r="F107" s="62">
        <f>+F109+F110+F111+F112+F113</f>
        <v>0</v>
      </c>
    </row>
    <row r="108" spans="1:6" s="73" customFormat="1" ht="12">
      <c r="A108" s="140" t="s">
        <v>398</v>
      </c>
      <c r="B108" s="141" t="s">
        <v>405</v>
      </c>
      <c r="C108" s="142">
        <f aca="true" t="shared" si="6" ref="C108:C113">+D108+E108+F108</f>
        <v>0</v>
      </c>
      <c r="D108" s="143">
        <f>+'1.1.mell._ÖNK_Mérleg2014'!D108+'1.2.mell._PH_Mérleg2014'!D108+'1.3.mell._HVÓBKI_Mérleg2014'!D108+'1.4.mell._HKK_Mérleg2014'!D108</f>
        <v>0</v>
      </c>
      <c r="E108" s="144">
        <f>+'1.1.mell._ÖNK_Mérleg2014'!E108+'1.2.mell._PH_Mérleg2014'!E108+'1.3.mell._HVÓBKI_Mérleg2014'!E108+'1.4.mell._HKK_Mérleg2014'!E108</f>
        <v>0</v>
      </c>
      <c r="F108" s="145">
        <f>+'1.1.mell._ÖNK_Mérleg2014'!F108+'1.2.mell._PH_Mérleg2014'!F108+'1.3.mell._HVÓBKI_Mérleg2014'!F108+'1.4.mell._HKK_Mérleg2014'!F108</f>
        <v>0</v>
      </c>
    </row>
    <row r="109" spans="1:6" ht="12">
      <c r="A109" s="128" t="s">
        <v>89</v>
      </c>
      <c r="B109" s="109" t="s">
        <v>165</v>
      </c>
      <c r="C109" s="63">
        <f t="shared" si="6"/>
        <v>25932</v>
      </c>
      <c r="D109" s="68">
        <f>+'1.1.mell._ÖNK_Mérleg2014'!D109+'1.2.mell._PH_Mérleg2014'!D109+'1.3.mell._HVÓBKI_Mérleg2014'!D109+'1.4.mell._HKK_Mérleg2014'!D109</f>
        <v>15460</v>
      </c>
      <c r="E109" s="38">
        <f>+'1.1.mell._ÖNK_Mérleg2014'!E109+'1.2.mell._PH_Mérleg2014'!E109+'1.3.mell._HVÓBKI_Mérleg2014'!E109+'1.4.mell._HKK_Mérleg2014'!E109</f>
        <v>10472</v>
      </c>
      <c r="F109" s="69">
        <f>+'1.1.mell._ÖNK_Mérleg2014'!F109+'1.2.mell._PH_Mérleg2014'!F109+'1.3.mell._HVÓBKI_Mérleg2014'!F109+'1.4.mell._HKK_Mérleg2014'!F109</f>
        <v>0</v>
      </c>
    </row>
    <row r="110" spans="1:6" ht="12">
      <c r="A110" s="129" t="s">
        <v>90</v>
      </c>
      <c r="B110" s="111" t="s">
        <v>166</v>
      </c>
      <c r="C110" s="50">
        <f t="shared" si="6"/>
        <v>21413</v>
      </c>
      <c r="D110" s="48">
        <f>+'1.1.mell._ÖNK_Mérleg2014'!D110+'1.2.mell._PH_Mérleg2014'!D110+'1.3.mell._HVÓBKI_Mérleg2014'!D110+'1.4.mell._HKK_Mérleg2014'!D110</f>
        <v>21264</v>
      </c>
      <c r="E110" s="39">
        <f>+'1.1.mell._ÖNK_Mérleg2014'!E110+'1.2.mell._PH_Mérleg2014'!E110+'1.3.mell._HVÓBKI_Mérleg2014'!E110+'1.4.mell._HKK_Mérleg2014'!E110</f>
        <v>149</v>
      </c>
      <c r="F110" s="44">
        <f>+'1.1.mell._ÖNK_Mérleg2014'!F110+'1.2.mell._PH_Mérleg2014'!F110+'1.3.mell._HVÓBKI_Mérleg2014'!F110+'1.4.mell._HKK_Mérleg2014'!F110</f>
        <v>0</v>
      </c>
    </row>
    <row r="111" spans="1:6" ht="12">
      <c r="A111" s="129" t="s">
        <v>91</v>
      </c>
      <c r="B111" s="111" t="s">
        <v>167</v>
      </c>
      <c r="C111" s="50">
        <f t="shared" si="6"/>
        <v>338016</v>
      </c>
      <c r="D111" s="48">
        <f>+'1.1.mell._ÖNK_Mérleg2014'!D111+'1.2.mell._PH_Mérleg2014'!D111+'1.3.mell._HVÓBKI_Mérleg2014'!D111+'1.4.mell._HKK_Mérleg2014'!D111</f>
        <v>327816</v>
      </c>
      <c r="E111" s="39">
        <f>+'1.1.mell._ÖNK_Mérleg2014'!E111+'1.2.mell._PH_Mérleg2014'!E111+'1.3.mell._HVÓBKI_Mérleg2014'!E111+'1.4.mell._HKK_Mérleg2014'!E111</f>
        <v>10200</v>
      </c>
      <c r="F111" s="44">
        <f>+'1.1.mell._ÖNK_Mérleg2014'!F111+'1.2.mell._PH_Mérleg2014'!F111+'1.3.mell._HVÓBKI_Mérleg2014'!F111+'1.4.mell._HKK_Mérleg2014'!F111</f>
        <v>0</v>
      </c>
    </row>
    <row r="112" spans="1:6" ht="12">
      <c r="A112" s="129" t="s">
        <v>92</v>
      </c>
      <c r="B112" s="111" t="s">
        <v>168</v>
      </c>
      <c r="C112" s="50">
        <f t="shared" si="6"/>
        <v>3328</v>
      </c>
      <c r="D112" s="48">
        <f>+'1.1.mell._ÖNK_Mérleg2014'!D112+'1.2.mell._PH_Mérleg2014'!D112+'1.3.mell._HVÓBKI_Mérleg2014'!D112+'1.4.mell._HKK_Mérleg2014'!D112</f>
        <v>2728</v>
      </c>
      <c r="E112" s="39">
        <f>+'1.1.mell._ÖNK_Mérleg2014'!E112+'1.2.mell._PH_Mérleg2014'!E112+'1.3.mell._HVÓBKI_Mérleg2014'!E112+'1.4.mell._HKK_Mérleg2014'!E112</f>
        <v>600</v>
      </c>
      <c r="F112" s="44">
        <f>+'1.1.mell._ÖNK_Mérleg2014'!F112+'1.2.mell._PH_Mérleg2014'!F112+'1.3.mell._HVÓBKI_Mérleg2014'!F112+'1.4.mell._HKK_Mérleg2014'!F112</f>
        <v>0</v>
      </c>
    </row>
    <row r="113" spans="1:6" ht="12.75" thickBot="1">
      <c r="A113" s="122" t="s">
        <v>93</v>
      </c>
      <c r="B113" s="112" t="s">
        <v>169</v>
      </c>
      <c r="C113" s="53">
        <f t="shared" si="6"/>
        <v>193141</v>
      </c>
      <c r="D113" s="54">
        <f>+'1.1.mell._ÖNK_Mérleg2014'!D113+'1.2.mell._PH_Mérleg2014'!D113+'1.3.mell._HVÓBKI_Mérleg2014'!D113+'1.4.mell._HKK_Mérleg2014'!D113</f>
        <v>187527</v>
      </c>
      <c r="E113" s="55">
        <f>+'1.1.mell._ÖNK_Mérleg2014'!E113+'1.2.mell._PH_Mérleg2014'!E113+'1.3.mell._HVÓBKI_Mérleg2014'!E113+'1.4.mell._HKK_Mérleg2014'!E113</f>
        <v>5614</v>
      </c>
      <c r="F113" s="56">
        <f>+'1.1.mell._ÖNK_Mérleg2014'!F113+'1.2.mell._PH_Mérleg2014'!F113+'1.3.mell._HVÓBKI_Mérleg2014'!F113+'1.4.mell._HKK_Mérleg2014'!F113</f>
        <v>0</v>
      </c>
    </row>
    <row r="114" spans="1:6" s="29" customFormat="1" ht="12.75" thickBot="1">
      <c r="A114" s="127" t="s">
        <v>16</v>
      </c>
      <c r="B114" s="108" t="s">
        <v>355</v>
      </c>
      <c r="C114" s="71">
        <f>+C115+C116+C117+C118+C119+C120+C121+C122</f>
        <v>266825</v>
      </c>
      <c r="D114" s="60">
        <f>+D115+D116+D117+D118+D119+D120+D121+D122</f>
        <v>266825</v>
      </c>
      <c r="E114" s="61">
        <f>+E115+E116+E117+E118+E119+E120+E121+E122</f>
        <v>0</v>
      </c>
      <c r="F114" s="62">
        <f>+F115+F116+F117+F118+F119+F120+F121+F122</f>
        <v>0</v>
      </c>
    </row>
    <row r="115" spans="1:6" ht="12">
      <c r="A115" s="128" t="s">
        <v>265</v>
      </c>
      <c r="B115" s="109" t="s">
        <v>170</v>
      </c>
      <c r="C115" s="63">
        <f aca="true" t="shared" si="7" ref="C115:C122">+D115+E115+F115</f>
        <v>0</v>
      </c>
      <c r="D115" s="68">
        <f>+'1.1.mell._ÖNK_Mérleg2014'!D115+'1.2.mell._PH_Mérleg2014'!D115+'1.3.mell._HVÓBKI_Mérleg2014'!D115+'1.4.mell._HKK_Mérleg2014'!D115</f>
        <v>0</v>
      </c>
      <c r="E115" s="38">
        <f>+'1.1.mell._ÖNK_Mérleg2014'!E115+'1.2.mell._PH_Mérleg2014'!E115+'1.3.mell._HVÓBKI_Mérleg2014'!E115+'1.4.mell._HKK_Mérleg2014'!E115</f>
        <v>0</v>
      </c>
      <c r="F115" s="69">
        <f>+'1.1.mell._ÖNK_Mérleg2014'!F115+'1.2.mell._PH_Mérleg2014'!F115+'1.3.mell._HVÓBKI_Mérleg2014'!F115+'1.4.mell._HKK_Mérleg2014'!F115</f>
        <v>0</v>
      </c>
    </row>
    <row r="116" spans="1:6" ht="12">
      <c r="A116" s="129" t="s">
        <v>266</v>
      </c>
      <c r="B116" s="111" t="s">
        <v>171</v>
      </c>
      <c r="C116" s="50">
        <f t="shared" si="7"/>
        <v>2225</v>
      </c>
      <c r="D116" s="48">
        <f>+'1.1.mell._ÖNK_Mérleg2014'!D116+'1.2.mell._PH_Mérleg2014'!D116+'1.3.mell._HVÓBKI_Mérleg2014'!D116+'1.4.mell._HKK_Mérleg2014'!D116</f>
        <v>2225</v>
      </c>
      <c r="E116" s="39">
        <f>+'1.1.mell._ÖNK_Mérleg2014'!E116+'1.2.mell._PH_Mérleg2014'!E116+'1.3.mell._HVÓBKI_Mérleg2014'!E116+'1.4.mell._HKK_Mérleg2014'!E116</f>
        <v>0</v>
      </c>
      <c r="F116" s="44">
        <f>+'1.1.mell._ÖNK_Mérleg2014'!F116+'1.2.mell._PH_Mérleg2014'!F116+'1.3.mell._HVÓBKI_Mérleg2014'!F116+'1.4.mell._HKK_Mérleg2014'!F116</f>
        <v>0</v>
      </c>
    </row>
    <row r="117" spans="1:6" ht="12">
      <c r="A117" s="129" t="s">
        <v>267</v>
      </c>
      <c r="B117" s="111" t="s">
        <v>172</v>
      </c>
      <c r="C117" s="50">
        <f t="shared" si="7"/>
        <v>0</v>
      </c>
      <c r="D117" s="48">
        <f>+'1.1.mell._ÖNK_Mérleg2014'!D117+'1.2.mell._PH_Mérleg2014'!D117+'1.3.mell._HVÓBKI_Mérleg2014'!D117+'1.4.mell._HKK_Mérleg2014'!D117</f>
        <v>0</v>
      </c>
      <c r="E117" s="39">
        <f>+'1.1.mell._ÖNK_Mérleg2014'!E117+'1.2.mell._PH_Mérleg2014'!E117+'1.3.mell._HVÓBKI_Mérleg2014'!E117+'1.4.mell._HKK_Mérleg2014'!E117</f>
        <v>0</v>
      </c>
      <c r="F117" s="44">
        <f>+'1.1.mell._ÖNK_Mérleg2014'!F117+'1.2.mell._PH_Mérleg2014'!F117+'1.3.mell._HVÓBKI_Mérleg2014'!F117+'1.4.mell._HKK_Mérleg2014'!F117</f>
        <v>0</v>
      </c>
    </row>
    <row r="118" spans="1:6" ht="12">
      <c r="A118" s="129" t="s">
        <v>295</v>
      </c>
      <c r="B118" s="111" t="s">
        <v>173</v>
      </c>
      <c r="C118" s="50">
        <f t="shared" si="7"/>
        <v>3600</v>
      </c>
      <c r="D118" s="48">
        <f>+'1.1.mell._ÖNK_Mérleg2014'!D118+'1.2.mell._PH_Mérleg2014'!D118+'1.3.mell._HVÓBKI_Mérleg2014'!D118+'1.4.mell._HKK_Mérleg2014'!D118</f>
        <v>3600</v>
      </c>
      <c r="E118" s="39">
        <f>+'1.1.mell._ÖNK_Mérleg2014'!E118+'1.2.mell._PH_Mérleg2014'!E118+'1.3.mell._HVÓBKI_Mérleg2014'!E118+'1.4.mell._HKK_Mérleg2014'!E118</f>
        <v>0</v>
      </c>
      <c r="F118" s="44">
        <f>+'1.1.mell._ÖNK_Mérleg2014'!F118+'1.2.mell._PH_Mérleg2014'!F118+'1.3.mell._HVÓBKI_Mérleg2014'!F118+'1.4.mell._HKK_Mérleg2014'!F118</f>
        <v>0</v>
      </c>
    </row>
    <row r="119" spans="1:6" ht="12">
      <c r="A119" s="129" t="s">
        <v>296</v>
      </c>
      <c r="B119" s="111" t="s">
        <v>174</v>
      </c>
      <c r="C119" s="50">
        <f t="shared" si="7"/>
        <v>180000</v>
      </c>
      <c r="D119" s="48">
        <f>+'1.1.mell._ÖNK_Mérleg2014'!D119+'1.2.mell._PH_Mérleg2014'!D119+'1.3.mell._HVÓBKI_Mérleg2014'!D119+'1.4.mell._HKK_Mérleg2014'!D119</f>
        <v>180000</v>
      </c>
      <c r="E119" s="39">
        <f>+'1.1.mell._ÖNK_Mérleg2014'!E119+'1.2.mell._PH_Mérleg2014'!E119+'1.3.mell._HVÓBKI_Mérleg2014'!E119+'1.4.mell._HKK_Mérleg2014'!E119</f>
        <v>0</v>
      </c>
      <c r="F119" s="44">
        <f>+'1.1.mell._ÖNK_Mérleg2014'!F119+'1.2.mell._PH_Mérleg2014'!F119+'1.3.mell._HVÓBKI_Mérleg2014'!F119+'1.4.mell._HKK_Mérleg2014'!F119</f>
        <v>0</v>
      </c>
    </row>
    <row r="120" spans="1:6" ht="12">
      <c r="A120" s="129" t="s">
        <v>297</v>
      </c>
      <c r="B120" s="111" t="s">
        <v>175</v>
      </c>
      <c r="C120" s="50">
        <f t="shared" si="7"/>
        <v>43000</v>
      </c>
      <c r="D120" s="48">
        <f>+'1.1.mell._ÖNK_Mérleg2014'!D120+'1.2.mell._PH_Mérleg2014'!D120+'1.3.mell._HVÓBKI_Mérleg2014'!D120+'1.4.mell._HKK_Mérleg2014'!D120</f>
        <v>43000</v>
      </c>
      <c r="E120" s="39">
        <f>+'1.1.mell._ÖNK_Mérleg2014'!E120+'1.2.mell._PH_Mérleg2014'!E120+'1.3.mell._HVÓBKI_Mérleg2014'!E120+'1.4.mell._HKK_Mérleg2014'!E120</f>
        <v>0</v>
      </c>
      <c r="F120" s="44">
        <f>+'1.1.mell._ÖNK_Mérleg2014'!F120+'1.2.mell._PH_Mérleg2014'!F120+'1.3.mell._HVÓBKI_Mérleg2014'!F120+'1.4.mell._HKK_Mérleg2014'!F120</f>
        <v>0</v>
      </c>
    </row>
    <row r="121" spans="1:6" ht="12">
      <c r="A121" s="129" t="s">
        <v>298</v>
      </c>
      <c r="B121" s="111" t="s">
        <v>176</v>
      </c>
      <c r="C121" s="50">
        <f t="shared" si="7"/>
        <v>0</v>
      </c>
      <c r="D121" s="48">
        <f>+'1.1.mell._ÖNK_Mérleg2014'!D121+'1.2.mell._PH_Mérleg2014'!D121+'1.3.mell._HVÓBKI_Mérleg2014'!D121+'1.4.mell._HKK_Mérleg2014'!D121</f>
        <v>0</v>
      </c>
      <c r="E121" s="39">
        <f>+'1.1.mell._ÖNK_Mérleg2014'!E121+'1.2.mell._PH_Mérleg2014'!E121+'1.3.mell._HVÓBKI_Mérleg2014'!E121+'1.4.mell._HKK_Mérleg2014'!E121</f>
        <v>0</v>
      </c>
      <c r="F121" s="44">
        <f>+'1.1.mell._ÖNK_Mérleg2014'!F121+'1.2.mell._PH_Mérleg2014'!F121+'1.3.mell._HVÓBKI_Mérleg2014'!F121+'1.4.mell._HKK_Mérleg2014'!F121</f>
        <v>0</v>
      </c>
    </row>
    <row r="122" spans="1:6" ht="12.75" thickBot="1">
      <c r="A122" s="122" t="s">
        <v>299</v>
      </c>
      <c r="B122" s="112" t="s">
        <v>177</v>
      </c>
      <c r="C122" s="53">
        <f t="shared" si="7"/>
        <v>38000</v>
      </c>
      <c r="D122" s="54">
        <f>+'1.1.mell._ÖNK_Mérleg2014'!D122+'1.2.mell._PH_Mérleg2014'!D122+'1.3.mell._HVÓBKI_Mérleg2014'!D122+'1.4.mell._HKK_Mérleg2014'!D122</f>
        <v>38000</v>
      </c>
      <c r="E122" s="55">
        <f>+'1.1.mell._ÖNK_Mérleg2014'!E122+'1.2.mell._PH_Mérleg2014'!E122+'1.3.mell._HVÓBKI_Mérleg2014'!E122+'1.4.mell._HKK_Mérleg2014'!E122</f>
        <v>0</v>
      </c>
      <c r="F122" s="56">
        <f>+'1.1.mell._ÖNK_Mérleg2014'!F122+'1.2.mell._PH_Mérleg2014'!F122+'1.3.mell._HVÓBKI_Mérleg2014'!F122+'1.4.mell._HKK_Mérleg2014'!F122</f>
        <v>0</v>
      </c>
    </row>
    <row r="123" spans="1:6" s="29" customFormat="1" ht="12.75" thickBot="1">
      <c r="A123" s="127" t="s">
        <v>15</v>
      </c>
      <c r="B123" s="108" t="s">
        <v>356</v>
      </c>
      <c r="C123" s="71">
        <f>+C124+C125+C126+C127+C128+C129+C131+C132+C133+C134+C135+C136</f>
        <v>92448</v>
      </c>
      <c r="D123" s="60">
        <f>+D124+D125+D126+D127+D128+D129+D131+D132+D133+D134+D135+D136</f>
        <v>89698</v>
      </c>
      <c r="E123" s="61">
        <f>+E124+E125+E126+E127+E128+E129+E131+E132+E133+E134+E135+E136</f>
        <v>2750</v>
      </c>
      <c r="F123" s="62">
        <f>+F124+F125+F126+F127+F128+F129+F131+F132+F133+F134+F135+F136</f>
        <v>0</v>
      </c>
    </row>
    <row r="124" spans="1:6" ht="12">
      <c r="A124" s="128" t="s">
        <v>115</v>
      </c>
      <c r="B124" s="109" t="s">
        <v>178</v>
      </c>
      <c r="C124" s="63">
        <f aca="true" t="shared" si="8" ref="C124:C135">+D124+E124+F124</f>
        <v>0</v>
      </c>
      <c r="D124" s="68">
        <f>+'1.1.mell._ÖNK_Mérleg2014'!D124+'1.2.mell._PH_Mérleg2014'!D124+'1.3.mell._HVÓBKI_Mérleg2014'!D124+'1.4.mell._HKK_Mérleg2014'!D124</f>
        <v>0</v>
      </c>
      <c r="E124" s="38">
        <f>+'1.1.mell._ÖNK_Mérleg2014'!E124+'1.2.mell._PH_Mérleg2014'!E124+'1.3.mell._HVÓBKI_Mérleg2014'!E124+'1.4.mell._HKK_Mérleg2014'!E124</f>
        <v>0</v>
      </c>
      <c r="F124" s="69">
        <f>+'1.1.mell._ÖNK_Mérleg2014'!F124+'1.2.mell._PH_Mérleg2014'!F124+'1.3.mell._HVÓBKI_Mérleg2014'!F124+'1.4.mell._HKK_Mérleg2014'!F124</f>
        <v>0</v>
      </c>
    </row>
    <row r="125" spans="1:6" ht="12">
      <c r="A125" s="129" t="s">
        <v>116</v>
      </c>
      <c r="B125" s="111" t="s">
        <v>179</v>
      </c>
      <c r="C125" s="50">
        <f t="shared" si="8"/>
        <v>0</v>
      </c>
      <c r="D125" s="48">
        <f>+'1.1.mell._ÖNK_Mérleg2014'!D125+'1.2.mell._PH_Mérleg2014'!D125+'1.3.mell._HVÓBKI_Mérleg2014'!D125+'1.4.mell._HKK_Mérleg2014'!D125</f>
        <v>0</v>
      </c>
      <c r="E125" s="39">
        <f>+'1.1.mell._ÖNK_Mérleg2014'!E125+'1.2.mell._PH_Mérleg2014'!E125+'1.3.mell._HVÓBKI_Mérleg2014'!E125+'1.4.mell._HKK_Mérleg2014'!E125</f>
        <v>0</v>
      </c>
      <c r="F125" s="44">
        <f>+'1.1.mell._ÖNK_Mérleg2014'!F125+'1.2.mell._PH_Mérleg2014'!F125+'1.3.mell._HVÓBKI_Mérleg2014'!F125+'1.4.mell._HKK_Mérleg2014'!F125</f>
        <v>0</v>
      </c>
    </row>
    <row r="126" spans="1:6" ht="12">
      <c r="A126" s="129" t="s">
        <v>220</v>
      </c>
      <c r="B126" s="111" t="s">
        <v>180</v>
      </c>
      <c r="C126" s="50">
        <f t="shared" si="8"/>
        <v>0</v>
      </c>
      <c r="D126" s="48">
        <f>+'1.1.mell._ÖNK_Mérleg2014'!D126+'1.2.mell._PH_Mérleg2014'!D126+'1.3.mell._HVÓBKI_Mérleg2014'!D126+'1.4.mell._HKK_Mérleg2014'!D126</f>
        <v>0</v>
      </c>
      <c r="E126" s="39">
        <f>+'1.1.mell._ÖNK_Mérleg2014'!E126+'1.2.mell._PH_Mérleg2014'!E126+'1.3.mell._HVÓBKI_Mérleg2014'!E126+'1.4.mell._HKK_Mérleg2014'!E126</f>
        <v>0</v>
      </c>
      <c r="F126" s="44">
        <f>+'1.1.mell._ÖNK_Mérleg2014'!F126+'1.2.mell._PH_Mérleg2014'!F126+'1.3.mell._HVÓBKI_Mérleg2014'!F126+'1.4.mell._HKK_Mérleg2014'!F126</f>
        <v>0</v>
      </c>
    </row>
    <row r="127" spans="1:6" ht="12">
      <c r="A127" s="129" t="s">
        <v>221</v>
      </c>
      <c r="B127" s="111" t="s">
        <v>181</v>
      </c>
      <c r="C127" s="50">
        <f t="shared" si="8"/>
        <v>0</v>
      </c>
      <c r="D127" s="48">
        <f>+'1.1.mell._ÖNK_Mérleg2014'!D127+'1.2.mell._PH_Mérleg2014'!D127+'1.3.mell._HVÓBKI_Mérleg2014'!D127+'1.4.mell._HKK_Mérleg2014'!D127</f>
        <v>0</v>
      </c>
      <c r="E127" s="39">
        <f>+'1.1.mell._ÖNK_Mérleg2014'!E127+'1.2.mell._PH_Mérleg2014'!E127+'1.3.mell._HVÓBKI_Mérleg2014'!E127+'1.4.mell._HKK_Mérleg2014'!E127</f>
        <v>0</v>
      </c>
      <c r="F127" s="44">
        <f>+'1.1.mell._ÖNK_Mérleg2014'!F127+'1.2.mell._PH_Mérleg2014'!F127+'1.3.mell._HVÓBKI_Mérleg2014'!F127+'1.4.mell._HKK_Mérleg2014'!F127</f>
        <v>0</v>
      </c>
    </row>
    <row r="128" spans="1:6" ht="12">
      <c r="A128" s="129" t="s">
        <v>222</v>
      </c>
      <c r="B128" s="111" t="s">
        <v>182</v>
      </c>
      <c r="C128" s="50">
        <f t="shared" si="8"/>
        <v>0</v>
      </c>
      <c r="D128" s="48">
        <f>+'1.1.mell._ÖNK_Mérleg2014'!D128+'1.2.mell._PH_Mérleg2014'!D128+'1.3.mell._HVÓBKI_Mérleg2014'!D128+'1.4.mell._HKK_Mérleg2014'!D128</f>
        <v>0</v>
      </c>
      <c r="E128" s="39">
        <f>+'1.1.mell._ÖNK_Mérleg2014'!E128+'1.2.mell._PH_Mérleg2014'!E128+'1.3.mell._HVÓBKI_Mérleg2014'!E128+'1.4.mell._HKK_Mérleg2014'!E128</f>
        <v>0</v>
      </c>
      <c r="F128" s="44">
        <f>+'1.1.mell._ÖNK_Mérleg2014'!F128+'1.2.mell._PH_Mérleg2014'!F128+'1.3.mell._HVÓBKI_Mérleg2014'!F128+'1.4.mell._HKK_Mérleg2014'!F128</f>
        <v>0</v>
      </c>
    </row>
    <row r="129" spans="1:6" ht="12">
      <c r="A129" s="129" t="s">
        <v>300</v>
      </c>
      <c r="B129" s="111" t="s">
        <v>183</v>
      </c>
      <c r="C129" s="50">
        <f t="shared" si="8"/>
        <v>11926</v>
      </c>
      <c r="D129" s="48">
        <f>+'1.1.mell._ÖNK_Mérleg2014'!D129+'1.2.mell._PH_Mérleg2014'!D129+'1.3.mell._HVÓBKI_Mérleg2014'!D129+'1.4.mell._HKK_Mérleg2014'!D129</f>
        <v>11926</v>
      </c>
      <c r="E129" s="39">
        <f>+'1.1.mell._ÖNK_Mérleg2014'!E129+'1.2.mell._PH_Mérleg2014'!E129+'1.3.mell._HVÓBKI_Mérleg2014'!E129+'1.4.mell._HKK_Mérleg2014'!E129</f>
        <v>0</v>
      </c>
      <c r="F129" s="44">
        <f>+'1.1.mell._ÖNK_Mérleg2014'!F129+'1.2.mell._PH_Mérleg2014'!F129+'1.3.mell._HVÓBKI_Mérleg2014'!F129+'1.4.mell._HKK_Mérleg2014'!F129</f>
        <v>0</v>
      </c>
    </row>
    <row r="130" spans="1:6" s="41" customFormat="1" ht="12">
      <c r="A130" s="133" t="s">
        <v>392</v>
      </c>
      <c r="B130" s="106" t="s">
        <v>393</v>
      </c>
      <c r="C130" s="85">
        <f t="shared" si="8"/>
        <v>0</v>
      </c>
      <c r="D130" s="83">
        <f>+'1.1.mell._ÖNK_Mérleg2014'!D130+'1.2.mell._PH_Mérleg2014'!D130+'1.3.mell._HVÓBKI_Mérleg2014'!D130+'1.4.mell._HKK_Mérleg2014'!D130</f>
        <v>0</v>
      </c>
      <c r="E130" s="81">
        <f>+'1.1.mell._ÖNK_Mérleg2014'!E130+'1.2.mell._PH_Mérleg2014'!E130+'1.3.mell._HVÓBKI_Mérleg2014'!E130+'1.4.mell._HKK_Mérleg2014'!E130</f>
        <v>0</v>
      </c>
      <c r="F130" s="82">
        <f>+'1.1.mell._ÖNK_Mérleg2014'!F130+'1.2.mell._PH_Mérleg2014'!F130+'1.3.mell._HVÓBKI_Mérleg2014'!F130+'1.4.mell._HKK_Mérleg2014'!F130</f>
        <v>0</v>
      </c>
    </row>
    <row r="131" spans="1:6" ht="12">
      <c r="A131" s="129" t="s">
        <v>301</v>
      </c>
      <c r="B131" s="111" t="s">
        <v>184</v>
      </c>
      <c r="C131" s="50">
        <f t="shared" si="8"/>
        <v>0</v>
      </c>
      <c r="D131" s="48">
        <f>+'1.1.mell._ÖNK_Mérleg2014'!D131+'1.2.mell._PH_Mérleg2014'!D131+'1.3.mell._HVÓBKI_Mérleg2014'!D131+'1.4.mell._HKK_Mérleg2014'!D131</f>
        <v>0</v>
      </c>
      <c r="E131" s="39">
        <f>+'1.1.mell._ÖNK_Mérleg2014'!E131+'1.2.mell._PH_Mérleg2014'!E131+'1.3.mell._HVÓBKI_Mérleg2014'!E131+'1.4.mell._HKK_Mérleg2014'!E131</f>
        <v>0</v>
      </c>
      <c r="F131" s="44">
        <f>+'1.1.mell._ÖNK_Mérleg2014'!F131+'1.2.mell._PH_Mérleg2014'!F131+'1.3.mell._HVÓBKI_Mérleg2014'!F131+'1.4.mell._HKK_Mérleg2014'!F131</f>
        <v>0</v>
      </c>
    </row>
    <row r="132" spans="1:6" ht="12">
      <c r="A132" s="129" t="s">
        <v>302</v>
      </c>
      <c r="B132" s="111" t="s">
        <v>185</v>
      </c>
      <c r="C132" s="50">
        <f t="shared" si="8"/>
        <v>30615</v>
      </c>
      <c r="D132" s="48">
        <f>+'1.1.mell._ÖNK_Mérleg2014'!D132+'1.2.mell._PH_Mérleg2014'!D132+'1.3.mell._HVÓBKI_Mérleg2014'!D132+'1.4.mell._HKK_Mérleg2014'!D132</f>
        <v>30615</v>
      </c>
      <c r="E132" s="39">
        <f>+'1.1.mell._ÖNK_Mérleg2014'!E132+'1.2.mell._PH_Mérleg2014'!E132+'1.3.mell._HVÓBKI_Mérleg2014'!E132+'1.4.mell._HKK_Mérleg2014'!E132</f>
        <v>0</v>
      </c>
      <c r="F132" s="44">
        <f>+'1.1.mell._ÖNK_Mérleg2014'!F132+'1.2.mell._PH_Mérleg2014'!F132+'1.3.mell._HVÓBKI_Mérleg2014'!F132+'1.4.mell._HKK_Mérleg2014'!F132</f>
        <v>0</v>
      </c>
    </row>
    <row r="133" spans="1:6" ht="12">
      <c r="A133" s="129" t="s">
        <v>303</v>
      </c>
      <c r="B133" s="111" t="s">
        <v>186</v>
      </c>
      <c r="C133" s="50">
        <f t="shared" si="8"/>
        <v>0</v>
      </c>
      <c r="D133" s="48">
        <f>+'1.1.mell._ÖNK_Mérleg2014'!D133+'1.2.mell._PH_Mérleg2014'!D133+'1.3.mell._HVÓBKI_Mérleg2014'!D133+'1.4.mell._HKK_Mérleg2014'!D133</f>
        <v>0</v>
      </c>
      <c r="E133" s="39">
        <f>+'1.1.mell._ÖNK_Mérleg2014'!E133+'1.2.mell._PH_Mérleg2014'!E133+'1.3.mell._HVÓBKI_Mérleg2014'!E133+'1.4.mell._HKK_Mérleg2014'!E133</f>
        <v>0</v>
      </c>
      <c r="F133" s="44">
        <f>+'1.1.mell._ÖNK_Mérleg2014'!F133+'1.2.mell._PH_Mérleg2014'!F133+'1.3.mell._HVÓBKI_Mérleg2014'!F133+'1.4.mell._HKK_Mérleg2014'!F133</f>
        <v>0</v>
      </c>
    </row>
    <row r="134" spans="1:6" ht="12">
      <c r="A134" s="129" t="s">
        <v>304</v>
      </c>
      <c r="B134" s="111" t="s">
        <v>187</v>
      </c>
      <c r="C134" s="50">
        <f t="shared" si="8"/>
        <v>0</v>
      </c>
      <c r="D134" s="48">
        <f>+'1.1.mell._ÖNK_Mérleg2014'!D134+'1.2.mell._PH_Mérleg2014'!D134+'1.3.mell._HVÓBKI_Mérleg2014'!D134+'1.4.mell._HKK_Mérleg2014'!D134</f>
        <v>0</v>
      </c>
      <c r="E134" s="39">
        <f>+'1.1.mell._ÖNK_Mérleg2014'!E134+'1.2.mell._PH_Mérleg2014'!E134+'1.3.mell._HVÓBKI_Mérleg2014'!E134+'1.4.mell._HKK_Mérleg2014'!E134</f>
        <v>0</v>
      </c>
      <c r="F134" s="44">
        <f>+'1.1.mell._ÖNK_Mérleg2014'!F134+'1.2.mell._PH_Mérleg2014'!F134+'1.3.mell._HVÓBKI_Mérleg2014'!F134+'1.4.mell._HKK_Mérleg2014'!F134</f>
        <v>0</v>
      </c>
    </row>
    <row r="135" spans="1:6" ht="12">
      <c r="A135" s="129" t="s">
        <v>305</v>
      </c>
      <c r="B135" s="111" t="s">
        <v>188</v>
      </c>
      <c r="C135" s="50">
        <f t="shared" si="8"/>
        <v>6850</v>
      </c>
      <c r="D135" s="48">
        <f>+'1.1.mell._ÖNK_Mérleg2014'!D135+'1.2.mell._PH_Mérleg2014'!D135+'1.3.mell._HVÓBKI_Mérleg2014'!D135+'1.4.mell._HKK_Mérleg2014'!D135</f>
        <v>4100</v>
      </c>
      <c r="E135" s="39">
        <f>+'1.1.mell._ÖNK_Mérleg2014'!E135+'1.2.mell._PH_Mérleg2014'!E135+'1.3.mell._HVÓBKI_Mérleg2014'!E135+'1.4.mell._HKK_Mérleg2014'!E135</f>
        <v>2750</v>
      </c>
      <c r="F135" s="44">
        <f>+'1.1.mell._ÖNK_Mérleg2014'!F135+'1.2.mell._PH_Mérleg2014'!F135+'1.3.mell._HVÓBKI_Mérleg2014'!F135+'1.4.mell._HKK_Mérleg2014'!F135</f>
        <v>0</v>
      </c>
    </row>
    <row r="136" spans="1:6" ht="12">
      <c r="A136" s="122" t="s">
        <v>306</v>
      </c>
      <c r="B136" s="112" t="s">
        <v>390</v>
      </c>
      <c r="C136" s="53">
        <f>+C137+C138</f>
        <v>43057</v>
      </c>
      <c r="D136" s="54">
        <f>+D137+D138</f>
        <v>43057</v>
      </c>
      <c r="E136" s="55">
        <f>+E137+E138</f>
        <v>0</v>
      </c>
      <c r="F136" s="56">
        <f>+F137+F138</f>
        <v>0</v>
      </c>
    </row>
    <row r="137" spans="1:6" s="41" customFormat="1" ht="12">
      <c r="A137" s="133" t="s">
        <v>387</v>
      </c>
      <c r="B137" s="118" t="s">
        <v>389</v>
      </c>
      <c r="C137" s="85">
        <f>+D137+E137+F137</f>
        <v>16000</v>
      </c>
      <c r="D137" s="83">
        <f>+'1.1.mell._ÖNK_Mérleg2014'!D137+'1.2.mell._PH_Mérleg2014'!D137+'1.3.mell._HVÓBKI_Mérleg2014'!D137+'1.4.mell._HKK_Mérleg2014'!D137</f>
        <v>16000</v>
      </c>
      <c r="E137" s="81">
        <f>+'1.1.mell._ÖNK_Mérleg2014'!E137+'1.2.mell._PH_Mérleg2014'!E137+'1.3.mell._HVÓBKI_Mérleg2014'!E137+'1.4.mell._HKK_Mérleg2014'!E137</f>
        <v>0</v>
      </c>
      <c r="F137" s="82">
        <f>+'1.1.mell._ÖNK_Mérleg2014'!F137+'1.2.mell._PH_Mérleg2014'!F137+'1.3.mell._HVÓBKI_Mérleg2014'!F137+'1.4.mell._HKK_Mérleg2014'!F137</f>
        <v>0</v>
      </c>
    </row>
    <row r="138" spans="1:6" s="41" customFormat="1" ht="12.75" thickBot="1">
      <c r="A138" s="133" t="s">
        <v>388</v>
      </c>
      <c r="B138" s="118" t="s">
        <v>397</v>
      </c>
      <c r="C138" s="85">
        <f>+D138+E138+F138</f>
        <v>27057</v>
      </c>
      <c r="D138" s="83">
        <f>+'1.1.mell._ÖNK_Mérleg2014'!D138+'1.2.mell._PH_Mérleg2014'!D138+'1.3.mell._HVÓBKI_Mérleg2014'!D138+'1.4.mell._HKK_Mérleg2014'!D138</f>
        <v>27057</v>
      </c>
      <c r="E138" s="81">
        <f>+'1.1.mell._ÖNK_Mérleg2014'!E138+'1.2.mell._PH_Mérleg2014'!E138+'1.3.mell._HVÓBKI_Mérleg2014'!E138+'1.4.mell._HKK_Mérleg2014'!E138</f>
        <v>0</v>
      </c>
      <c r="F138" s="82">
        <f>+'1.1.mell._ÖNK_Mérleg2014'!F138+'1.2.mell._PH_Mérleg2014'!F138+'1.3.mell._HVÓBKI_Mérleg2014'!F138+'1.4.mell._HKK_Mérleg2014'!F138</f>
        <v>0</v>
      </c>
    </row>
    <row r="139" spans="1:6" s="29" customFormat="1" ht="12.75" thickBot="1">
      <c r="A139" s="127" t="s">
        <v>14</v>
      </c>
      <c r="B139" s="113" t="s">
        <v>357</v>
      </c>
      <c r="C139" s="71">
        <f>+C140+C149+C155</f>
        <v>111779</v>
      </c>
      <c r="D139" s="60">
        <f>+D140+D149+D155</f>
        <v>111779</v>
      </c>
      <c r="E139" s="61">
        <f>+E140+E149+E155</f>
        <v>0</v>
      </c>
      <c r="F139" s="62">
        <f>+F140+F149+F155</f>
        <v>0</v>
      </c>
    </row>
    <row r="140" spans="1:6" s="29" customFormat="1" ht="12.75" thickBot="1">
      <c r="A140" s="127" t="s">
        <v>13</v>
      </c>
      <c r="B140" s="108" t="s">
        <v>358</v>
      </c>
      <c r="C140" s="71">
        <f>+C142+C143+C144+C145+C146+C147+C148</f>
        <v>96779</v>
      </c>
      <c r="D140" s="60">
        <f>+D142+D143+D144+D145+D146+D147+D148</f>
        <v>96779</v>
      </c>
      <c r="E140" s="61">
        <f>+E142+E143+E144+E145+E146+E147+E148</f>
        <v>0</v>
      </c>
      <c r="F140" s="62">
        <f>+F142+F143+F144+F145+F146+F147+F148</f>
        <v>0</v>
      </c>
    </row>
    <row r="141" spans="1:6" s="73" customFormat="1" ht="12">
      <c r="A141" s="140" t="s">
        <v>398</v>
      </c>
      <c r="B141" s="141" t="s">
        <v>399</v>
      </c>
      <c r="C141" s="142">
        <f aca="true" t="shared" si="9" ref="C141:C148">+D141+E141+F141</f>
        <v>64039</v>
      </c>
      <c r="D141" s="143">
        <f>+'1.1.mell._ÖNK_Mérleg2014'!D141+'1.2.mell._PH_Mérleg2014'!D141+'1.3.mell._HVÓBKI_Mérleg2014'!D141+'1.4.mell._HKK_Mérleg2014'!D141</f>
        <v>64039</v>
      </c>
      <c r="E141" s="144">
        <f>+'1.1.mell._ÖNK_Mérleg2014'!E141+'1.2.mell._PH_Mérleg2014'!E141+'1.3.mell._HVÓBKI_Mérleg2014'!E141+'1.4.mell._HKK_Mérleg2014'!E141</f>
        <v>0</v>
      </c>
      <c r="F141" s="145">
        <f>+'1.1.mell._ÖNK_Mérleg2014'!F141+'1.2.mell._PH_Mérleg2014'!F141+'1.3.mell._HVÓBKI_Mérleg2014'!F141+'1.4.mell._HKK_Mérleg2014'!F141</f>
        <v>0</v>
      </c>
    </row>
    <row r="142" spans="1:6" ht="12">
      <c r="A142" s="128" t="s">
        <v>94</v>
      </c>
      <c r="B142" s="109" t="s">
        <v>189</v>
      </c>
      <c r="C142" s="63">
        <f t="shared" si="9"/>
        <v>0</v>
      </c>
      <c r="D142" s="68">
        <f>+'1.1.mell._ÖNK_Mérleg2014'!D142+'1.2.mell._PH_Mérleg2014'!D142+'1.3.mell._HVÓBKI_Mérleg2014'!D142+'1.4.mell._HKK_Mérleg2014'!D142</f>
        <v>0</v>
      </c>
      <c r="E142" s="38">
        <f>+'1.1.mell._ÖNK_Mérleg2014'!E142+'1.2.mell._PH_Mérleg2014'!E142+'1.3.mell._HVÓBKI_Mérleg2014'!E142+'1.4.mell._HKK_Mérleg2014'!E142</f>
        <v>0</v>
      </c>
      <c r="F142" s="69">
        <f>+'1.1.mell._ÖNK_Mérleg2014'!F142+'1.2.mell._PH_Mérleg2014'!F142+'1.3.mell._HVÓBKI_Mérleg2014'!F142+'1.4.mell._HKK_Mérleg2014'!F142</f>
        <v>0</v>
      </c>
    </row>
    <row r="143" spans="1:6" ht="12">
      <c r="A143" s="129" t="s">
        <v>95</v>
      </c>
      <c r="B143" s="111" t="s">
        <v>190</v>
      </c>
      <c r="C143" s="50">
        <f t="shared" si="9"/>
        <v>65039</v>
      </c>
      <c r="D143" s="48">
        <f>+'1.1.mell._ÖNK_Mérleg2014'!D143+'1.2.mell._PH_Mérleg2014'!D143+'1.3.mell._HVÓBKI_Mérleg2014'!D143+'1.4.mell._HKK_Mérleg2014'!D143</f>
        <v>65039</v>
      </c>
      <c r="E143" s="39">
        <f>+'1.1.mell._ÖNK_Mérleg2014'!E143+'1.2.mell._PH_Mérleg2014'!E143+'1.3.mell._HVÓBKI_Mérleg2014'!E143+'1.4.mell._HKK_Mérleg2014'!E143</f>
        <v>0</v>
      </c>
      <c r="F143" s="44">
        <f>+'1.1.mell._ÖNK_Mérleg2014'!F143+'1.2.mell._PH_Mérleg2014'!F143+'1.3.mell._HVÓBKI_Mérleg2014'!F143+'1.4.mell._HKK_Mérleg2014'!F143</f>
        <v>0</v>
      </c>
    </row>
    <row r="144" spans="1:6" ht="12">
      <c r="A144" s="129" t="s">
        <v>96</v>
      </c>
      <c r="B144" s="111" t="s">
        <v>191</v>
      </c>
      <c r="C144" s="50">
        <f t="shared" si="9"/>
        <v>0</v>
      </c>
      <c r="D144" s="48">
        <f>+'1.1.mell._ÖNK_Mérleg2014'!D144+'1.2.mell._PH_Mérleg2014'!D144+'1.3.mell._HVÓBKI_Mérleg2014'!D144+'1.4.mell._HKK_Mérleg2014'!D144</f>
        <v>0</v>
      </c>
      <c r="E144" s="39">
        <f>+'1.1.mell._ÖNK_Mérleg2014'!E144+'1.2.mell._PH_Mérleg2014'!E144+'1.3.mell._HVÓBKI_Mérleg2014'!E144+'1.4.mell._HKK_Mérleg2014'!E144</f>
        <v>0</v>
      </c>
      <c r="F144" s="44">
        <f>+'1.1.mell._ÖNK_Mérleg2014'!F144+'1.2.mell._PH_Mérleg2014'!F144+'1.3.mell._HVÓBKI_Mérleg2014'!F144+'1.4.mell._HKK_Mérleg2014'!F144</f>
        <v>0</v>
      </c>
    </row>
    <row r="145" spans="1:6" ht="12">
      <c r="A145" s="129" t="s">
        <v>268</v>
      </c>
      <c r="B145" s="111" t="s">
        <v>192</v>
      </c>
      <c r="C145" s="50">
        <f t="shared" si="9"/>
        <v>24779</v>
      </c>
      <c r="D145" s="48">
        <f>+'1.1.mell._ÖNK_Mérleg2014'!D145+'1.2.mell._PH_Mérleg2014'!D145+'1.3.mell._HVÓBKI_Mérleg2014'!D145+'1.4.mell._HKK_Mérleg2014'!D145</f>
        <v>24779</v>
      </c>
      <c r="E145" s="39">
        <f>+'1.1.mell._ÖNK_Mérleg2014'!E145+'1.2.mell._PH_Mérleg2014'!E145+'1.3.mell._HVÓBKI_Mérleg2014'!E145+'1.4.mell._HKK_Mérleg2014'!E145</f>
        <v>0</v>
      </c>
      <c r="F145" s="44">
        <f>+'1.1.mell._ÖNK_Mérleg2014'!F145+'1.2.mell._PH_Mérleg2014'!F145+'1.3.mell._HVÓBKI_Mérleg2014'!F145+'1.4.mell._HKK_Mérleg2014'!F145</f>
        <v>0</v>
      </c>
    </row>
    <row r="146" spans="1:6" ht="12">
      <c r="A146" s="129" t="s">
        <v>269</v>
      </c>
      <c r="B146" s="111" t="s">
        <v>193</v>
      </c>
      <c r="C146" s="50">
        <f t="shared" si="9"/>
        <v>0</v>
      </c>
      <c r="D146" s="48">
        <f>+'1.1.mell._ÖNK_Mérleg2014'!D146+'1.2.mell._PH_Mérleg2014'!D146+'1.3.mell._HVÓBKI_Mérleg2014'!D146+'1.4.mell._HKK_Mérleg2014'!D146</f>
        <v>0</v>
      </c>
      <c r="E146" s="39">
        <f>+'1.1.mell._ÖNK_Mérleg2014'!E146+'1.2.mell._PH_Mérleg2014'!E146+'1.3.mell._HVÓBKI_Mérleg2014'!E146+'1.4.mell._HKK_Mérleg2014'!E146</f>
        <v>0</v>
      </c>
      <c r="F146" s="44">
        <f>+'1.1.mell._ÖNK_Mérleg2014'!F146+'1.2.mell._PH_Mérleg2014'!F146+'1.3.mell._HVÓBKI_Mérleg2014'!F146+'1.4.mell._HKK_Mérleg2014'!F146</f>
        <v>0</v>
      </c>
    </row>
    <row r="147" spans="1:6" ht="12">
      <c r="A147" s="129" t="s">
        <v>307</v>
      </c>
      <c r="B147" s="111" t="s">
        <v>194</v>
      </c>
      <c r="C147" s="50">
        <f t="shared" si="9"/>
        <v>0</v>
      </c>
      <c r="D147" s="48">
        <f>+'1.1.mell._ÖNK_Mérleg2014'!D147+'1.2.mell._PH_Mérleg2014'!D147+'1.3.mell._HVÓBKI_Mérleg2014'!D147+'1.4.mell._HKK_Mérleg2014'!D147</f>
        <v>0</v>
      </c>
      <c r="E147" s="39">
        <f>+'1.1.mell._ÖNK_Mérleg2014'!E147+'1.2.mell._PH_Mérleg2014'!E147+'1.3.mell._HVÓBKI_Mérleg2014'!E147+'1.4.mell._HKK_Mérleg2014'!E147</f>
        <v>0</v>
      </c>
      <c r="F147" s="44">
        <f>+'1.1.mell._ÖNK_Mérleg2014'!F147+'1.2.mell._PH_Mérleg2014'!F147+'1.3.mell._HVÓBKI_Mérleg2014'!F147+'1.4.mell._HKK_Mérleg2014'!F147</f>
        <v>0</v>
      </c>
    </row>
    <row r="148" spans="1:6" ht="12.75" thickBot="1">
      <c r="A148" s="122" t="s">
        <v>308</v>
      </c>
      <c r="B148" s="112" t="s">
        <v>195</v>
      </c>
      <c r="C148" s="53">
        <f t="shared" si="9"/>
        <v>6961</v>
      </c>
      <c r="D148" s="54">
        <f>+'1.1.mell._ÖNK_Mérleg2014'!D148+'1.2.mell._PH_Mérleg2014'!D148+'1.3.mell._HVÓBKI_Mérleg2014'!D148+'1.4.mell._HKK_Mérleg2014'!D148</f>
        <v>6961</v>
      </c>
      <c r="E148" s="55">
        <f>+'1.1.mell._ÖNK_Mérleg2014'!E148+'1.2.mell._PH_Mérleg2014'!E148+'1.3.mell._HVÓBKI_Mérleg2014'!E148+'1.4.mell._HKK_Mérleg2014'!E148</f>
        <v>0</v>
      </c>
      <c r="F148" s="56">
        <f>+'1.1.mell._ÖNK_Mérleg2014'!F148+'1.2.mell._PH_Mérleg2014'!F148+'1.3.mell._HVÓBKI_Mérleg2014'!F148+'1.4.mell._HKK_Mérleg2014'!F148</f>
        <v>0</v>
      </c>
    </row>
    <row r="149" spans="1:6" s="29" customFormat="1" ht="12.75" thickBot="1">
      <c r="A149" s="127" t="s">
        <v>12</v>
      </c>
      <c r="B149" s="108" t="s">
        <v>359</v>
      </c>
      <c r="C149" s="71">
        <f>+C151+C152+C153+C154</f>
        <v>15000</v>
      </c>
      <c r="D149" s="60">
        <f>+D151+D152+D153+D154</f>
        <v>15000</v>
      </c>
      <c r="E149" s="61">
        <f>+E151+E152+E153+E154</f>
        <v>0</v>
      </c>
      <c r="F149" s="62">
        <f>+F151+F152+F153+F154</f>
        <v>0</v>
      </c>
    </row>
    <row r="150" spans="1:6" s="73" customFormat="1" ht="12">
      <c r="A150" s="140" t="s">
        <v>401</v>
      </c>
      <c r="B150" s="141" t="s">
        <v>402</v>
      </c>
      <c r="C150" s="142">
        <f>+D150+E150+F150</f>
        <v>0</v>
      </c>
      <c r="D150" s="143">
        <f>+'1.1.mell._ÖNK_Mérleg2014'!D150+'1.2.mell._PH_Mérleg2014'!D150+'1.3.mell._HVÓBKI_Mérleg2014'!D150+'1.4.mell._HKK_Mérleg2014'!D150</f>
        <v>0</v>
      </c>
      <c r="E150" s="144">
        <f>+'1.1.mell._ÖNK_Mérleg2014'!E150+'1.2.mell._PH_Mérleg2014'!E150+'1.3.mell._HVÓBKI_Mérleg2014'!E150+'1.4.mell._HKK_Mérleg2014'!E150</f>
        <v>0</v>
      </c>
      <c r="F150" s="145">
        <f>+'1.1.mell._ÖNK_Mérleg2014'!F150+'1.2.mell._PH_Mérleg2014'!F150+'1.3.mell._HVÓBKI_Mérleg2014'!F150+'1.4.mell._HKK_Mérleg2014'!F150</f>
        <v>0</v>
      </c>
    </row>
    <row r="151" spans="1:6" ht="12">
      <c r="A151" s="128" t="s">
        <v>97</v>
      </c>
      <c r="B151" s="109" t="s">
        <v>196</v>
      </c>
      <c r="C151" s="63">
        <f>+D151+E151+F151</f>
        <v>11811</v>
      </c>
      <c r="D151" s="68">
        <f>+'1.1.mell._ÖNK_Mérleg2014'!D151+'1.2.mell._PH_Mérleg2014'!D151+'1.3.mell._HVÓBKI_Mérleg2014'!D151+'1.4.mell._HKK_Mérleg2014'!D151</f>
        <v>11811</v>
      </c>
      <c r="E151" s="38">
        <f>+'1.1.mell._ÖNK_Mérleg2014'!E151+'1.2.mell._PH_Mérleg2014'!E151+'1.3.mell._HVÓBKI_Mérleg2014'!E151+'1.4.mell._HKK_Mérleg2014'!E151</f>
        <v>0</v>
      </c>
      <c r="F151" s="69">
        <f>+'1.1.mell._ÖNK_Mérleg2014'!F151+'1.2.mell._PH_Mérleg2014'!F151+'1.3.mell._HVÓBKI_Mérleg2014'!F151+'1.4.mell._HKK_Mérleg2014'!F151</f>
        <v>0</v>
      </c>
    </row>
    <row r="152" spans="1:6" ht="12">
      <c r="A152" s="129" t="s">
        <v>98</v>
      </c>
      <c r="B152" s="111" t="s">
        <v>197</v>
      </c>
      <c r="C152" s="50">
        <f>+D152+E152+F152</f>
        <v>0</v>
      </c>
      <c r="D152" s="48">
        <f>+'1.1.mell._ÖNK_Mérleg2014'!D152+'1.2.mell._PH_Mérleg2014'!D152+'1.3.mell._HVÓBKI_Mérleg2014'!D152+'1.4.mell._HKK_Mérleg2014'!D152</f>
        <v>0</v>
      </c>
      <c r="E152" s="39">
        <f>+'1.1.mell._ÖNK_Mérleg2014'!E152+'1.2.mell._PH_Mérleg2014'!E152+'1.3.mell._HVÓBKI_Mérleg2014'!E152+'1.4.mell._HKK_Mérleg2014'!E152</f>
        <v>0</v>
      </c>
      <c r="F152" s="44">
        <f>+'1.1.mell._ÖNK_Mérleg2014'!F152+'1.2.mell._PH_Mérleg2014'!F152+'1.3.mell._HVÓBKI_Mérleg2014'!F152+'1.4.mell._HKK_Mérleg2014'!F152</f>
        <v>0</v>
      </c>
    </row>
    <row r="153" spans="1:6" ht="12">
      <c r="A153" s="129" t="s">
        <v>99</v>
      </c>
      <c r="B153" s="111" t="s">
        <v>198</v>
      </c>
      <c r="C153" s="50">
        <f>+D153+E153+F153</f>
        <v>0</v>
      </c>
      <c r="D153" s="48">
        <f>+'1.1.mell._ÖNK_Mérleg2014'!D153+'1.2.mell._PH_Mérleg2014'!D153+'1.3.mell._HVÓBKI_Mérleg2014'!D153+'1.4.mell._HKK_Mérleg2014'!D153</f>
        <v>0</v>
      </c>
      <c r="E153" s="39">
        <f>+'1.1.mell._ÖNK_Mérleg2014'!E153+'1.2.mell._PH_Mérleg2014'!E153+'1.3.mell._HVÓBKI_Mérleg2014'!E153+'1.4.mell._HKK_Mérleg2014'!E153</f>
        <v>0</v>
      </c>
      <c r="F153" s="44">
        <f>+'1.1.mell._ÖNK_Mérleg2014'!F153+'1.2.mell._PH_Mérleg2014'!F153+'1.3.mell._HVÓBKI_Mérleg2014'!F153+'1.4.mell._HKK_Mérleg2014'!F153</f>
        <v>0</v>
      </c>
    </row>
    <row r="154" spans="1:6" ht="12.75" thickBot="1">
      <c r="A154" s="122" t="s">
        <v>100</v>
      </c>
      <c r="B154" s="112" t="s">
        <v>199</v>
      </c>
      <c r="C154" s="53">
        <f>+D154+E154+F154</f>
        <v>3189</v>
      </c>
      <c r="D154" s="54">
        <f>+'1.1.mell._ÖNK_Mérleg2014'!D154+'1.2.mell._PH_Mérleg2014'!D154+'1.3.mell._HVÓBKI_Mérleg2014'!D154+'1.4.mell._HKK_Mérleg2014'!D154</f>
        <v>3189</v>
      </c>
      <c r="E154" s="55">
        <f>+'1.1.mell._ÖNK_Mérleg2014'!E154+'1.2.mell._PH_Mérleg2014'!E154+'1.3.mell._HVÓBKI_Mérleg2014'!E154+'1.4.mell._HKK_Mérleg2014'!E154</f>
        <v>0</v>
      </c>
      <c r="F154" s="56">
        <f>+'1.1.mell._ÖNK_Mérleg2014'!F154+'1.2.mell._PH_Mérleg2014'!F154+'1.3.mell._HVÓBKI_Mérleg2014'!F154+'1.4.mell._HKK_Mérleg2014'!F154</f>
        <v>0</v>
      </c>
    </row>
    <row r="155" spans="1:6" s="29" customFormat="1" ht="12.75" thickBot="1">
      <c r="A155" s="127" t="s">
        <v>11</v>
      </c>
      <c r="B155" s="108" t="s">
        <v>360</v>
      </c>
      <c r="C155" s="71">
        <f>+C156+C157+C158+C159+C161+C162+C163+C164</f>
        <v>0</v>
      </c>
      <c r="D155" s="60">
        <f>+D156+D157+D158+D159+D161+D162+D163+D164</f>
        <v>0</v>
      </c>
      <c r="E155" s="61">
        <f>+E156+E157+E158+E159+E161+E162+E163+E164</f>
        <v>0</v>
      </c>
      <c r="F155" s="62">
        <f>+F156+F157+F158+F159+F161+F162+F163+F164</f>
        <v>0</v>
      </c>
    </row>
    <row r="156" spans="1:6" ht="12">
      <c r="A156" s="128" t="s">
        <v>309</v>
      </c>
      <c r="B156" s="109" t="s">
        <v>200</v>
      </c>
      <c r="C156" s="63">
        <f aca="true" t="shared" si="10" ref="C156:C164">+D156+E156+F156</f>
        <v>0</v>
      </c>
      <c r="D156" s="68">
        <f>+'1.1.mell._ÖNK_Mérleg2014'!D156+'1.2.mell._PH_Mérleg2014'!D156+'1.3.mell._HVÓBKI_Mérleg2014'!D156+'1.4.mell._HKK_Mérleg2014'!D156</f>
        <v>0</v>
      </c>
      <c r="E156" s="38">
        <f>+'1.1.mell._ÖNK_Mérleg2014'!E156+'1.2.mell._PH_Mérleg2014'!E156+'1.3.mell._HVÓBKI_Mérleg2014'!E156+'1.4.mell._HKK_Mérleg2014'!E156</f>
        <v>0</v>
      </c>
      <c r="F156" s="69">
        <f>+'1.1.mell._ÖNK_Mérleg2014'!F156+'1.2.mell._PH_Mérleg2014'!F156+'1.3.mell._HVÓBKI_Mérleg2014'!F156+'1.4.mell._HKK_Mérleg2014'!F156</f>
        <v>0</v>
      </c>
    </row>
    <row r="157" spans="1:6" ht="12">
      <c r="A157" s="129" t="s">
        <v>310</v>
      </c>
      <c r="B157" s="111" t="s">
        <v>201</v>
      </c>
      <c r="C157" s="50">
        <f t="shared" si="10"/>
        <v>0</v>
      </c>
      <c r="D157" s="48">
        <f>+'1.1.mell._ÖNK_Mérleg2014'!D157+'1.2.mell._PH_Mérleg2014'!D157+'1.3.mell._HVÓBKI_Mérleg2014'!D157+'1.4.mell._HKK_Mérleg2014'!D157</f>
        <v>0</v>
      </c>
      <c r="E157" s="39">
        <f>+'1.1.mell._ÖNK_Mérleg2014'!E157+'1.2.mell._PH_Mérleg2014'!E157+'1.3.mell._HVÓBKI_Mérleg2014'!E157+'1.4.mell._HKK_Mérleg2014'!E157</f>
        <v>0</v>
      </c>
      <c r="F157" s="44">
        <f>+'1.1.mell._ÖNK_Mérleg2014'!F157+'1.2.mell._PH_Mérleg2014'!F157+'1.3.mell._HVÓBKI_Mérleg2014'!F157+'1.4.mell._HKK_Mérleg2014'!F157</f>
        <v>0</v>
      </c>
    </row>
    <row r="158" spans="1:6" ht="12">
      <c r="A158" s="129" t="s">
        <v>311</v>
      </c>
      <c r="B158" s="111" t="s">
        <v>202</v>
      </c>
      <c r="C158" s="50">
        <f t="shared" si="10"/>
        <v>0</v>
      </c>
      <c r="D158" s="48">
        <f>+'1.1.mell._ÖNK_Mérleg2014'!D158+'1.2.mell._PH_Mérleg2014'!D158+'1.3.mell._HVÓBKI_Mérleg2014'!D158+'1.4.mell._HKK_Mérleg2014'!D158</f>
        <v>0</v>
      </c>
      <c r="E158" s="39">
        <f>+'1.1.mell._ÖNK_Mérleg2014'!E158+'1.2.mell._PH_Mérleg2014'!E158+'1.3.mell._HVÓBKI_Mérleg2014'!E158+'1.4.mell._HKK_Mérleg2014'!E158</f>
        <v>0</v>
      </c>
      <c r="F158" s="44">
        <f>+'1.1.mell._ÖNK_Mérleg2014'!F158+'1.2.mell._PH_Mérleg2014'!F158+'1.3.mell._HVÓBKI_Mérleg2014'!F158+'1.4.mell._HKK_Mérleg2014'!F158</f>
        <v>0</v>
      </c>
    </row>
    <row r="159" spans="1:6" ht="12">
      <c r="A159" s="129" t="s">
        <v>312</v>
      </c>
      <c r="B159" s="111" t="s">
        <v>203</v>
      </c>
      <c r="C159" s="50">
        <f t="shared" si="10"/>
        <v>0</v>
      </c>
      <c r="D159" s="48">
        <f>+'1.1.mell._ÖNK_Mérleg2014'!D159+'1.2.mell._PH_Mérleg2014'!D159+'1.3.mell._HVÓBKI_Mérleg2014'!D159+'1.4.mell._HKK_Mérleg2014'!D159</f>
        <v>0</v>
      </c>
      <c r="E159" s="39">
        <f>+'1.1.mell._ÖNK_Mérleg2014'!E159+'1.2.mell._PH_Mérleg2014'!E159+'1.3.mell._HVÓBKI_Mérleg2014'!E159+'1.4.mell._HKK_Mérleg2014'!E159</f>
        <v>0</v>
      </c>
      <c r="F159" s="44">
        <f>+'1.1.mell._ÖNK_Mérleg2014'!F159+'1.2.mell._PH_Mérleg2014'!F159+'1.3.mell._HVÓBKI_Mérleg2014'!F159+'1.4.mell._HKK_Mérleg2014'!F159</f>
        <v>0</v>
      </c>
    </row>
    <row r="160" spans="1:6" s="41" customFormat="1" ht="12">
      <c r="A160" s="133" t="s">
        <v>395</v>
      </c>
      <c r="B160" s="106" t="s">
        <v>396</v>
      </c>
      <c r="C160" s="85">
        <f t="shared" si="10"/>
        <v>0</v>
      </c>
      <c r="D160" s="83">
        <f>+'1.1.mell._ÖNK_Mérleg2014'!D160+'1.2.mell._PH_Mérleg2014'!D160+'1.3.mell._HVÓBKI_Mérleg2014'!D160+'1.4.mell._HKK_Mérleg2014'!D160</f>
        <v>0</v>
      </c>
      <c r="E160" s="81">
        <f>+'1.1.mell._ÖNK_Mérleg2014'!E160+'1.2.mell._PH_Mérleg2014'!E160+'1.3.mell._HVÓBKI_Mérleg2014'!E160+'1.4.mell._HKK_Mérleg2014'!E160</f>
        <v>0</v>
      </c>
      <c r="F160" s="82">
        <f>+'1.1.mell._ÖNK_Mérleg2014'!F160+'1.2.mell._PH_Mérleg2014'!F160+'1.3.mell._HVÓBKI_Mérleg2014'!F160+'1.4.mell._HKK_Mérleg2014'!F160</f>
        <v>0</v>
      </c>
    </row>
    <row r="161" spans="1:6" ht="12">
      <c r="A161" s="129" t="s">
        <v>313</v>
      </c>
      <c r="B161" s="111" t="s">
        <v>204</v>
      </c>
      <c r="C161" s="50">
        <f t="shared" si="10"/>
        <v>0</v>
      </c>
      <c r="D161" s="48">
        <f>+'1.1.mell._ÖNK_Mérleg2014'!D161+'1.2.mell._PH_Mérleg2014'!D161+'1.3.mell._HVÓBKI_Mérleg2014'!D161+'1.4.mell._HKK_Mérleg2014'!D161</f>
        <v>0</v>
      </c>
      <c r="E161" s="39">
        <f>+'1.1.mell._ÖNK_Mérleg2014'!E161+'1.2.mell._PH_Mérleg2014'!E161+'1.3.mell._HVÓBKI_Mérleg2014'!E161+'1.4.mell._HKK_Mérleg2014'!E161</f>
        <v>0</v>
      </c>
      <c r="F161" s="44">
        <f>+'1.1.mell._ÖNK_Mérleg2014'!F161+'1.2.mell._PH_Mérleg2014'!F161+'1.3.mell._HVÓBKI_Mérleg2014'!F161+'1.4.mell._HKK_Mérleg2014'!F161</f>
        <v>0</v>
      </c>
    </row>
    <row r="162" spans="1:6" ht="12">
      <c r="A162" s="129" t="s">
        <v>314</v>
      </c>
      <c r="B162" s="111" t="s">
        <v>205</v>
      </c>
      <c r="C162" s="50">
        <f t="shared" si="10"/>
        <v>0</v>
      </c>
      <c r="D162" s="48">
        <f>+'1.1.mell._ÖNK_Mérleg2014'!D162+'1.2.mell._PH_Mérleg2014'!D162+'1.3.mell._HVÓBKI_Mérleg2014'!D162+'1.4.mell._HKK_Mérleg2014'!D162</f>
        <v>0</v>
      </c>
      <c r="E162" s="39">
        <f>+'1.1.mell._ÖNK_Mérleg2014'!E162+'1.2.mell._PH_Mérleg2014'!E162+'1.3.mell._HVÓBKI_Mérleg2014'!E162+'1.4.mell._HKK_Mérleg2014'!E162</f>
        <v>0</v>
      </c>
      <c r="F162" s="44">
        <f>+'1.1.mell._ÖNK_Mérleg2014'!F162+'1.2.mell._PH_Mérleg2014'!F162+'1.3.mell._HVÓBKI_Mérleg2014'!F162+'1.4.mell._HKK_Mérleg2014'!F162</f>
        <v>0</v>
      </c>
    </row>
    <row r="163" spans="1:6" ht="12">
      <c r="A163" s="129" t="s">
        <v>315</v>
      </c>
      <c r="B163" s="111" t="s">
        <v>206</v>
      </c>
      <c r="C163" s="50">
        <f t="shared" si="10"/>
        <v>0</v>
      </c>
      <c r="D163" s="48">
        <f>+'1.1.mell._ÖNK_Mérleg2014'!D163+'1.2.mell._PH_Mérleg2014'!D163+'1.3.mell._HVÓBKI_Mérleg2014'!D163+'1.4.mell._HKK_Mérleg2014'!D163</f>
        <v>0</v>
      </c>
      <c r="E163" s="39">
        <f>+'1.1.mell._ÖNK_Mérleg2014'!E163+'1.2.mell._PH_Mérleg2014'!E163+'1.3.mell._HVÓBKI_Mérleg2014'!E163+'1.4.mell._HKK_Mérleg2014'!E163</f>
        <v>0</v>
      </c>
      <c r="F163" s="44">
        <f>+'1.1.mell._ÖNK_Mérleg2014'!F163+'1.2.mell._PH_Mérleg2014'!F163+'1.3.mell._HVÓBKI_Mérleg2014'!F163+'1.4.mell._HKK_Mérleg2014'!F163</f>
        <v>0</v>
      </c>
    </row>
    <row r="164" spans="1:6" ht="12.75" thickBot="1">
      <c r="A164" s="122" t="s">
        <v>316</v>
      </c>
      <c r="B164" s="112" t="s">
        <v>207</v>
      </c>
      <c r="C164" s="53">
        <f t="shared" si="10"/>
        <v>0</v>
      </c>
      <c r="D164" s="54">
        <f>+'1.1.mell._ÖNK_Mérleg2014'!D164+'1.2.mell._PH_Mérleg2014'!D164+'1.3.mell._HVÓBKI_Mérleg2014'!D164+'1.4.mell._HKK_Mérleg2014'!D164</f>
        <v>0</v>
      </c>
      <c r="E164" s="55">
        <f>+'1.1.mell._ÖNK_Mérleg2014'!E164+'1.2.mell._PH_Mérleg2014'!E164+'1.3.mell._HVÓBKI_Mérleg2014'!E164+'1.4.mell._HKK_Mérleg2014'!E164</f>
        <v>0</v>
      </c>
      <c r="F164" s="56">
        <f>+'1.1.mell._ÖNK_Mérleg2014'!F164+'1.2.mell._PH_Mérleg2014'!F164+'1.3.mell._HVÓBKI_Mérleg2014'!F164+'1.4.mell._HKK_Mérleg2014'!F164</f>
        <v>0</v>
      </c>
    </row>
    <row r="165" spans="1:6" s="29" customFormat="1" ht="12.75" thickBot="1">
      <c r="A165" s="127" t="s">
        <v>10</v>
      </c>
      <c r="B165" s="113" t="s">
        <v>361</v>
      </c>
      <c r="C165" s="71">
        <f>+C100+C139</f>
        <v>1686903</v>
      </c>
      <c r="D165" s="60">
        <f>+D100+D139</f>
        <v>1650939</v>
      </c>
      <c r="E165" s="61">
        <f>+E100+E139</f>
        <v>35964</v>
      </c>
      <c r="F165" s="62">
        <f>+F100+F139</f>
        <v>0</v>
      </c>
    </row>
    <row r="166" spans="1:6" s="29" customFormat="1" ht="12.75" thickBot="1">
      <c r="A166" s="127" t="s">
        <v>9</v>
      </c>
      <c r="B166" s="114" t="s">
        <v>362</v>
      </c>
      <c r="C166" s="71">
        <f>+C167</f>
        <v>0</v>
      </c>
      <c r="D166" s="60">
        <f>+D167</f>
        <v>0</v>
      </c>
      <c r="E166" s="61">
        <f>+E167</f>
        <v>0</v>
      </c>
      <c r="F166" s="62">
        <f>+F167</f>
        <v>0</v>
      </c>
    </row>
    <row r="167" spans="1:6" s="29" customFormat="1" ht="12.75" thickBot="1">
      <c r="A167" s="127" t="s">
        <v>73</v>
      </c>
      <c r="B167" s="108" t="s">
        <v>363</v>
      </c>
      <c r="C167" s="71">
        <f>+C168+C177+C178</f>
        <v>0</v>
      </c>
      <c r="D167" s="60">
        <f>+D168+D177+D178</f>
        <v>0</v>
      </c>
      <c r="E167" s="61">
        <f>+E168+E177+E178</f>
        <v>0</v>
      </c>
      <c r="F167" s="62">
        <f>+F168+F177+F178</f>
        <v>0</v>
      </c>
    </row>
    <row r="168" spans="1:6" ht="12">
      <c r="A168" s="128" t="s">
        <v>103</v>
      </c>
      <c r="B168" s="109" t="s">
        <v>447</v>
      </c>
      <c r="C168" s="63">
        <f>+C169+C170+C171+C172+C173+C174+C175+C176</f>
        <v>0</v>
      </c>
      <c r="D168" s="68">
        <f>+D169+D170+D171+D172+D173+D174+D175+D176</f>
        <v>0</v>
      </c>
      <c r="E168" s="38">
        <f>+E169+E170+E171+E172+E173+E174+E175+E176</f>
        <v>0</v>
      </c>
      <c r="F168" s="69">
        <f>+F169+F170+F171+F172+F173+F174+F175+F176</f>
        <v>0</v>
      </c>
    </row>
    <row r="169" spans="1:6" s="41" customFormat="1" ht="12">
      <c r="A169" s="130" t="s">
        <v>243</v>
      </c>
      <c r="B169" s="110" t="s">
        <v>208</v>
      </c>
      <c r="C169" s="51">
        <f aca="true" t="shared" si="11" ref="C169:C178">+D169+E169+F169</f>
        <v>0</v>
      </c>
      <c r="D169" s="47">
        <f>+'1.1.mell._ÖNK_Mérleg2014'!D169+'1.2.mell._PH_Mérleg2014'!D169+'1.3.mell._HVÓBKI_Mérleg2014'!D169+'1.4.mell._HKK_Mérleg2014'!D169</f>
        <v>0</v>
      </c>
      <c r="E169" s="40">
        <f>+'1.1.mell._ÖNK_Mérleg2014'!E169+'1.2.mell._PH_Mérleg2014'!E169+'1.3.mell._HVÓBKI_Mérleg2014'!E169+'1.4.mell._HKK_Mérleg2014'!E169</f>
        <v>0</v>
      </c>
      <c r="F169" s="43">
        <f>+'1.1.mell._ÖNK_Mérleg2014'!F169+'1.2.mell._PH_Mérleg2014'!F169+'1.3.mell._HVÓBKI_Mérleg2014'!F169+'1.4.mell._HKK_Mérleg2014'!F169</f>
        <v>0</v>
      </c>
    </row>
    <row r="170" spans="1:6" s="41" customFormat="1" ht="12">
      <c r="A170" s="130" t="s">
        <v>244</v>
      </c>
      <c r="B170" s="110" t="s">
        <v>209</v>
      </c>
      <c r="C170" s="51">
        <f t="shared" si="11"/>
        <v>0</v>
      </c>
      <c r="D170" s="47">
        <f>+'1.1.mell._ÖNK_Mérleg2014'!D170+'1.2.mell._PH_Mérleg2014'!D170+'1.3.mell._HVÓBKI_Mérleg2014'!D170+'1.4.mell._HKK_Mérleg2014'!D170</f>
        <v>0</v>
      </c>
      <c r="E170" s="40">
        <f>+'1.1.mell._ÖNK_Mérleg2014'!E170+'1.2.mell._PH_Mérleg2014'!E170+'1.3.mell._HVÓBKI_Mérleg2014'!E170+'1.4.mell._HKK_Mérleg2014'!E170</f>
        <v>0</v>
      </c>
      <c r="F170" s="43">
        <f>+'1.1.mell._ÖNK_Mérleg2014'!F170+'1.2.mell._PH_Mérleg2014'!F170+'1.3.mell._HVÓBKI_Mérleg2014'!F170+'1.4.mell._HKK_Mérleg2014'!F170</f>
        <v>0</v>
      </c>
    </row>
    <row r="171" spans="1:6" s="41" customFormat="1" ht="12">
      <c r="A171" s="130" t="s">
        <v>245</v>
      </c>
      <c r="B171" s="110" t="s">
        <v>210</v>
      </c>
      <c r="C171" s="51">
        <f t="shared" si="11"/>
        <v>0</v>
      </c>
      <c r="D171" s="47">
        <f>+'1.1.mell._ÖNK_Mérleg2014'!D171+'1.2.mell._PH_Mérleg2014'!D171+'1.3.mell._HVÓBKI_Mérleg2014'!D171+'1.4.mell._HKK_Mérleg2014'!D171</f>
        <v>0</v>
      </c>
      <c r="E171" s="40">
        <f>+'1.1.mell._ÖNK_Mérleg2014'!E171+'1.2.mell._PH_Mérleg2014'!E171+'1.3.mell._HVÓBKI_Mérleg2014'!E171+'1.4.mell._HKK_Mérleg2014'!E171</f>
        <v>0</v>
      </c>
      <c r="F171" s="43">
        <f>+'1.1.mell._ÖNK_Mérleg2014'!F171+'1.2.mell._PH_Mérleg2014'!F171+'1.3.mell._HVÓBKI_Mérleg2014'!F171+'1.4.mell._HKK_Mérleg2014'!F171</f>
        <v>0</v>
      </c>
    </row>
    <row r="172" spans="1:6" s="41" customFormat="1" ht="12">
      <c r="A172" s="130" t="s">
        <v>246</v>
      </c>
      <c r="B172" s="110" t="s">
        <v>211</v>
      </c>
      <c r="C172" s="51">
        <f t="shared" si="11"/>
        <v>0</v>
      </c>
      <c r="D172" s="47">
        <f>+'1.1.mell._ÖNK_Mérleg2014'!D172+'1.2.mell._PH_Mérleg2014'!D172+'1.3.mell._HVÓBKI_Mérleg2014'!D172+'1.4.mell._HKK_Mérleg2014'!D172</f>
        <v>0</v>
      </c>
      <c r="E172" s="40">
        <f>+'1.1.mell._ÖNK_Mérleg2014'!E172+'1.2.mell._PH_Mérleg2014'!E172+'1.3.mell._HVÓBKI_Mérleg2014'!E172+'1.4.mell._HKK_Mérleg2014'!E172</f>
        <v>0</v>
      </c>
      <c r="F172" s="43">
        <f>+'1.1.mell._ÖNK_Mérleg2014'!F172+'1.2.mell._PH_Mérleg2014'!F172+'1.3.mell._HVÓBKI_Mérleg2014'!F172+'1.4.mell._HKK_Mérleg2014'!F172</f>
        <v>0</v>
      </c>
    </row>
    <row r="173" spans="1:6" s="41" customFormat="1" ht="12">
      <c r="A173" s="151" t="s">
        <v>247</v>
      </c>
      <c r="B173" s="152" t="s">
        <v>212</v>
      </c>
      <c r="C173" s="153">
        <f t="shared" si="11"/>
        <v>0</v>
      </c>
      <c r="D173" s="154"/>
      <c r="E173" s="155"/>
      <c r="F173" s="156"/>
    </row>
    <row r="174" spans="1:6" s="41" customFormat="1" ht="12">
      <c r="A174" s="130" t="s">
        <v>248</v>
      </c>
      <c r="B174" s="110" t="s">
        <v>217</v>
      </c>
      <c r="C174" s="51">
        <f t="shared" si="11"/>
        <v>0</v>
      </c>
      <c r="D174" s="47">
        <f>+'1.1.mell._ÖNK_Mérleg2014'!D174+'1.2.mell._PH_Mérleg2014'!D174+'1.3.mell._HVÓBKI_Mérleg2014'!D174+'1.4.mell._HKK_Mérleg2014'!D174</f>
        <v>0</v>
      </c>
      <c r="E174" s="40">
        <f>+'1.1.mell._ÖNK_Mérleg2014'!E174+'1.2.mell._PH_Mérleg2014'!E174+'1.3.mell._HVÓBKI_Mérleg2014'!E174+'1.4.mell._HKK_Mérleg2014'!E174</f>
        <v>0</v>
      </c>
      <c r="F174" s="43">
        <f>+'1.1.mell._ÖNK_Mérleg2014'!F174+'1.2.mell._PH_Mérleg2014'!F174+'1.3.mell._HVÓBKI_Mérleg2014'!F174+'1.4.mell._HKK_Mérleg2014'!F174</f>
        <v>0</v>
      </c>
    </row>
    <row r="175" spans="1:6" s="41" customFormat="1" ht="12">
      <c r="A175" s="130" t="s">
        <v>249</v>
      </c>
      <c r="B175" s="110" t="s">
        <v>213</v>
      </c>
      <c r="C175" s="51">
        <f t="shared" si="11"/>
        <v>0</v>
      </c>
      <c r="D175" s="47">
        <f>+'1.1.mell._ÖNK_Mérleg2014'!D175+'1.2.mell._PH_Mérleg2014'!D175+'1.3.mell._HVÓBKI_Mérleg2014'!D175+'1.4.mell._HKK_Mérleg2014'!D175</f>
        <v>0</v>
      </c>
      <c r="E175" s="40">
        <f>+'1.1.mell._ÖNK_Mérleg2014'!E175+'1.2.mell._PH_Mérleg2014'!E175+'1.3.mell._HVÓBKI_Mérleg2014'!E175+'1.4.mell._HKK_Mérleg2014'!E175</f>
        <v>0</v>
      </c>
      <c r="F175" s="43">
        <f>+'1.1.mell._ÖNK_Mérleg2014'!F175+'1.2.mell._PH_Mérleg2014'!F175+'1.3.mell._HVÓBKI_Mérleg2014'!F175+'1.4.mell._HKK_Mérleg2014'!F175</f>
        <v>0</v>
      </c>
    </row>
    <row r="176" spans="1:6" s="41" customFormat="1" ht="12">
      <c r="A176" s="130" t="s">
        <v>250</v>
      </c>
      <c r="B176" s="110" t="s">
        <v>214</v>
      </c>
      <c r="C176" s="51">
        <f t="shared" si="11"/>
        <v>0</v>
      </c>
      <c r="D176" s="47">
        <f>+'1.1.mell._ÖNK_Mérleg2014'!D176+'1.2.mell._PH_Mérleg2014'!D176+'1.3.mell._HVÓBKI_Mérleg2014'!D176+'1.4.mell._HKK_Mérleg2014'!D176</f>
        <v>0</v>
      </c>
      <c r="E176" s="40">
        <f>+'1.1.mell._ÖNK_Mérleg2014'!E176+'1.2.mell._PH_Mérleg2014'!E176+'1.3.mell._HVÓBKI_Mérleg2014'!E176+'1.4.mell._HKK_Mérleg2014'!E176</f>
        <v>0</v>
      </c>
      <c r="F176" s="43">
        <f>+'1.1.mell._ÖNK_Mérleg2014'!F176+'1.2.mell._PH_Mérleg2014'!F176+'1.3.mell._HVÓBKI_Mérleg2014'!F176+'1.4.mell._HKK_Mérleg2014'!F176</f>
        <v>0</v>
      </c>
    </row>
    <row r="177" spans="1:6" ht="12">
      <c r="A177" s="129" t="s">
        <v>104</v>
      </c>
      <c r="B177" s="111" t="s">
        <v>215</v>
      </c>
      <c r="C177" s="50">
        <f t="shared" si="11"/>
        <v>0</v>
      </c>
      <c r="D177" s="48">
        <f>+'1.1.mell._ÖNK_Mérleg2014'!D177+'1.2.mell._PH_Mérleg2014'!D177+'1.3.mell._HVÓBKI_Mérleg2014'!D177+'1.4.mell._HKK_Mérleg2014'!D177</f>
        <v>0</v>
      </c>
      <c r="E177" s="39">
        <f>+'1.1.mell._ÖNK_Mérleg2014'!E177+'1.2.mell._PH_Mérleg2014'!E177+'1.3.mell._HVÓBKI_Mérleg2014'!E177+'1.4.mell._HKK_Mérleg2014'!E177</f>
        <v>0</v>
      </c>
      <c r="F177" s="44">
        <f>+'1.1.mell._ÖNK_Mérleg2014'!F177+'1.2.mell._PH_Mérleg2014'!F177+'1.3.mell._HVÓBKI_Mérleg2014'!F177+'1.4.mell._HKK_Mérleg2014'!F177</f>
        <v>0</v>
      </c>
    </row>
    <row r="178" spans="1:6" ht="12.75" thickBot="1">
      <c r="A178" s="122" t="s">
        <v>105</v>
      </c>
      <c r="B178" s="112" t="s">
        <v>216</v>
      </c>
      <c r="C178" s="53">
        <f t="shared" si="11"/>
        <v>0</v>
      </c>
      <c r="D178" s="54">
        <f>+'1.1.mell._ÖNK_Mérleg2014'!D178+'1.2.mell._PH_Mérleg2014'!D178+'1.3.mell._HVÓBKI_Mérleg2014'!D178+'1.4.mell._HKK_Mérleg2014'!D178</f>
        <v>0</v>
      </c>
      <c r="E178" s="55">
        <f>+'1.1.mell._ÖNK_Mérleg2014'!E178+'1.2.mell._PH_Mérleg2014'!E178+'1.3.mell._HVÓBKI_Mérleg2014'!E178+'1.4.mell._HKK_Mérleg2014'!E178</f>
        <v>0</v>
      </c>
      <c r="F178" s="56">
        <f>+'1.1.mell._ÖNK_Mérleg2014'!F178+'1.2.mell._PH_Mérleg2014'!F178+'1.3.mell._HVÓBKI_Mérleg2014'!F178+'1.4.mell._HKK_Mérleg2014'!F178</f>
        <v>0</v>
      </c>
    </row>
    <row r="179" spans="1:6" s="29" customFormat="1" ht="12.75" thickBot="1">
      <c r="A179" s="127" t="s">
        <v>72</v>
      </c>
      <c r="B179" s="113" t="s">
        <v>364</v>
      </c>
      <c r="C179" s="71">
        <f>+C180</f>
        <v>0</v>
      </c>
      <c r="D179" s="60">
        <f>+D180</f>
        <v>0</v>
      </c>
      <c r="E179" s="61">
        <f>+E180</f>
        <v>0</v>
      </c>
      <c r="F179" s="62">
        <f>+F180</f>
        <v>0</v>
      </c>
    </row>
    <row r="180" spans="1:6" s="29" customFormat="1" ht="12.75" thickBot="1">
      <c r="A180" s="127" t="s">
        <v>71</v>
      </c>
      <c r="B180" s="108" t="s">
        <v>365</v>
      </c>
      <c r="C180" s="71">
        <f>+C181+C190+C191</f>
        <v>0</v>
      </c>
      <c r="D180" s="60">
        <f>+D181+D190+D191</f>
        <v>0</v>
      </c>
      <c r="E180" s="61">
        <f>+E181+E190+E191</f>
        <v>0</v>
      </c>
      <c r="F180" s="62">
        <f>+F181+F190+F191</f>
        <v>0</v>
      </c>
    </row>
    <row r="181" spans="1:6" ht="12">
      <c r="A181" s="128" t="s">
        <v>106</v>
      </c>
      <c r="B181" s="109" t="s">
        <v>366</v>
      </c>
      <c r="C181" s="63">
        <f>+C182+C183+C184+C185+C186+C187+C188+C189</f>
        <v>0</v>
      </c>
      <c r="D181" s="68">
        <f>+D182+D183+D184+D185+D186+D187+D188+D189</f>
        <v>0</v>
      </c>
      <c r="E181" s="38">
        <f>+E182+E183+E184+E185+E186+E187+E188+E189</f>
        <v>0</v>
      </c>
      <c r="F181" s="69">
        <f>+F182+F183+F184+F185+F186+F187+F188+F189</f>
        <v>0</v>
      </c>
    </row>
    <row r="182" spans="1:6" s="41" customFormat="1" ht="12">
      <c r="A182" s="130" t="s">
        <v>251</v>
      </c>
      <c r="B182" s="110" t="s">
        <v>208</v>
      </c>
      <c r="C182" s="51">
        <f aca="true" t="shared" si="12" ref="C182:C191">+D182+E182+F182</f>
        <v>0</v>
      </c>
      <c r="D182" s="47">
        <f>+'1.1.mell._ÖNK_Mérleg2014'!D182+'1.2.mell._PH_Mérleg2014'!D182+'1.3.mell._HVÓBKI_Mérleg2014'!D182+'1.4.mell._HKK_Mérleg2014'!D182</f>
        <v>0</v>
      </c>
      <c r="E182" s="40">
        <f>+'1.1.mell._ÖNK_Mérleg2014'!E182+'1.2.mell._PH_Mérleg2014'!E182+'1.3.mell._HVÓBKI_Mérleg2014'!E182+'1.4.mell._HKK_Mérleg2014'!E182</f>
        <v>0</v>
      </c>
      <c r="F182" s="43">
        <f>+'1.1.mell._ÖNK_Mérleg2014'!F182+'1.2.mell._PH_Mérleg2014'!F182+'1.3.mell._HVÓBKI_Mérleg2014'!F182+'1.4.mell._HKK_Mérleg2014'!F182</f>
        <v>0</v>
      </c>
    </row>
    <row r="183" spans="1:6" s="41" customFormat="1" ht="12">
      <c r="A183" s="130" t="s">
        <v>252</v>
      </c>
      <c r="B183" s="110" t="s">
        <v>209</v>
      </c>
      <c r="C183" s="51">
        <f t="shared" si="12"/>
        <v>0</v>
      </c>
      <c r="D183" s="47">
        <f>+'1.1.mell._ÖNK_Mérleg2014'!D183+'1.2.mell._PH_Mérleg2014'!D183+'1.3.mell._HVÓBKI_Mérleg2014'!D183+'1.4.mell._HKK_Mérleg2014'!D183</f>
        <v>0</v>
      </c>
      <c r="E183" s="40">
        <f>+'1.1.mell._ÖNK_Mérleg2014'!E183+'1.2.mell._PH_Mérleg2014'!E183+'1.3.mell._HVÓBKI_Mérleg2014'!E183+'1.4.mell._HKK_Mérleg2014'!E183</f>
        <v>0</v>
      </c>
      <c r="F183" s="43">
        <f>+'1.1.mell._ÖNK_Mérleg2014'!F183+'1.2.mell._PH_Mérleg2014'!F183+'1.3.mell._HVÓBKI_Mérleg2014'!F183+'1.4.mell._HKK_Mérleg2014'!F183</f>
        <v>0</v>
      </c>
    </row>
    <row r="184" spans="1:6" s="41" customFormat="1" ht="12">
      <c r="A184" s="130" t="s">
        <v>253</v>
      </c>
      <c r="B184" s="110" t="s">
        <v>210</v>
      </c>
      <c r="C184" s="51">
        <f t="shared" si="12"/>
        <v>0</v>
      </c>
      <c r="D184" s="47">
        <f>+'1.1.mell._ÖNK_Mérleg2014'!D184+'1.2.mell._PH_Mérleg2014'!D184+'1.3.mell._HVÓBKI_Mérleg2014'!D184+'1.4.mell._HKK_Mérleg2014'!D184</f>
        <v>0</v>
      </c>
      <c r="E184" s="40">
        <f>+'1.1.mell._ÖNK_Mérleg2014'!E184+'1.2.mell._PH_Mérleg2014'!E184+'1.3.mell._HVÓBKI_Mérleg2014'!E184+'1.4.mell._HKK_Mérleg2014'!E184</f>
        <v>0</v>
      </c>
      <c r="F184" s="43">
        <f>+'1.1.mell._ÖNK_Mérleg2014'!F184+'1.2.mell._PH_Mérleg2014'!F184+'1.3.mell._HVÓBKI_Mérleg2014'!F184+'1.4.mell._HKK_Mérleg2014'!F184</f>
        <v>0</v>
      </c>
    </row>
    <row r="185" spans="1:6" s="41" customFormat="1" ht="12">
      <c r="A185" s="130" t="s">
        <v>254</v>
      </c>
      <c r="B185" s="110" t="s">
        <v>211</v>
      </c>
      <c r="C185" s="51">
        <f t="shared" si="12"/>
        <v>0</v>
      </c>
      <c r="D185" s="47">
        <f>+'1.1.mell._ÖNK_Mérleg2014'!D185+'1.2.mell._PH_Mérleg2014'!D185+'1.3.mell._HVÓBKI_Mérleg2014'!D185+'1.4.mell._HKK_Mérleg2014'!D185</f>
        <v>0</v>
      </c>
      <c r="E185" s="40">
        <f>+'1.1.mell._ÖNK_Mérleg2014'!E185+'1.2.mell._PH_Mérleg2014'!E185+'1.3.mell._HVÓBKI_Mérleg2014'!E185+'1.4.mell._HKK_Mérleg2014'!E185</f>
        <v>0</v>
      </c>
      <c r="F185" s="43">
        <f>+'1.1.mell._ÖNK_Mérleg2014'!F185+'1.2.mell._PH_Mérleg2014'!F185+'1.3.mell._HVÓBKI_Mérleg2014'!F185+'1.4.mell._HKK_Mérleg2014'!F185</f>
        <v>0</v>
      </c>
    </row>
    <row r="186" spans="1:6" s="41" customFormat="1" ht="12">
      <c r="A186" s="151" t="s">
        <v>255</v>
      </c>
      <c r="B186" s="152" t="s">
        <v>212</v>
      </c>
      <c r="C186" s="153">
        <f t="shared" si="12"/>
        <v>0</v>
      </c>
      <c r="D186" s="154"/>
      <c r="E186" s="155"/>
      <c r="F186" s="156"/>
    </row>
    <row r="187" spans="1:6" s="41" customFormat="1" ht="12">
      <c r="A187" s="130" t="s">
        <v>256</v>
      </c>
      <c r="B187" s="110" t="s">
        <v>217</v>
      </c>
      <c r="C187" s="51">
        <f t="shared" si="12"/>
        <v>0</v>
      </c>
      <c r="D187" s="47">
        <f>+'1.1.mell._ÖNK_Mérleg2014'!D187+'1.2.mell._PH_Mérleg2014'!D187+'1.3.mell._HVÓBKI_Mérleg2014'!D187+'1.4.mell._HKK_Mérleg2014'!D187</f>
        <v>0</v>
      </c>
      <c r="E187" s="40">
        <f>+'1.1.mell._ÖNK_Mérleg2014'!E187+'1.2.mell._PH_Mérleg2014'!E187+'1.3.mell._HVÓBKI_Mérleg2014'!E187+'1.4.mell._HKK_Mérleg2014'!E187</f>
        <v>0</v>
      </c>
      <c r="F187" s="43">
        <f>+'1.1.mell._ÖNK_Mérleg2014'!F187+'1.2.mell._PH_Mérleg2014'!F187+'1.3.mell._HVÓBKI_Mérleg2014'!F187+'1.4.mell._HKK_Mérleg2014'!F187</f>
        <v>0</v>
      </c>
    </row>
    <row r="188" spans="1:6" s="41" customFormat="1" ht="12">
      <c r="A188" s="130" t="s">
        <v>257</v>
      </c>
      <c r="B188" s="110" t="s">
        <v>213</v>
      </c>
      <c r="C188" s="51">
        <f t="shared" si="12"/>
        <v>0</v>
      </c>
      <c r="D188" s="47">
        <f>+'1.1.mell._ÖNK_Mérleg2014'!D188+'1.2.mell._PH_Mérleg2014'!D188+'1.3.mell._HVÓBKI_Mérleg2014'!D188+'1.4.mell._HKK_Mérleg2014'!D188</f>
        <v>0</v>
      </c>
      <c r="E188" s="40">
        <f>+'1.1.mell._ÖNK_Mérleg2014'!E188+'1.2.mell._PH_Mérleg2014'!E188+'1.3.mell._HVÓBKI_Mérleg2014'!E188+'1.4.mell._HKK_Mérleg2014'!E188</f>
        <v>0</v>
      </c>
      <c r="F188" s="43">
        <f>+'1.1.mell._ÖNK_Mérleg2014'!F188+'1.2.mell._PH_Mérleg2014'!F188+'1.3.mell._HVÓBKI_Mérleg2014'!F188+'1.4.mell._HKK_Mérleg2014'!F188</f>
        <v>0</v>
      </c>
    </row>
    <row r="189" spans="1:6" s="41" customFormat="1" ht="12">
      <c r="A189" s="130" t="s">
        <v>258</v>
      </c>
      <c r="B189" s="110" t="s">
        <v>214</v>
      </c>
      <c r="C189" s="51">
        <f t="shared" si="12"/>
        <v>0</v>
      </c>
      <c r="D189" s="47">
        <f>+'1.1.mell._ÖNK_Mérleg2014'!D189+'1.2.mell._PH_Mérleg2014'!D189+'1.3.mell._HVÓBKI_Mérleg2014'!D189+'1.4.mell._HKK_Mérleg2014'!D189</f>
        <v>0</v>
      </c>
      <c r="E189" s="40">
        <f>+'1.1.mell._ÖNK_Mérleg2014'!E189+'1.2.mell._PH_Mérleg2014'!E189+'1.3.mell._HVÓBKI_Mérleg2014'!E189+'1.4.mell._HKK_Mérleg2014'!E189</f>
        <v>0</v>
      </c>
      <c r="F189" s="43">
        <f>+'1.1.mell._ÖNK_Mérleg2014'!F189+'1.2.mell._PH_Mérleg2014'!F189+'1.3.mell._HVÓBKI_Mérleg2014'!F189+'1.4.mell._HKK_Mérleg2014'!F189</f>
        <v>0</v>
      </c>
    </row>
    <row r="190" spans="1:6" ht="12">
      <c r="A190" s="129" t="s">
        <v>107</v>
      </c>
      <c r="B190" s="111" t="s">
        <v>215</v>
      </c>
      <c r="C190" s="50">
        <f t="shared" si="12"/>
        <v>0</v>
      </c>
      <c r="D190" s="48">
        <f>+'1.1.mell._ÖNK_Mérleg2014'!D190+'1.2.mell._PH_Mérleg2014'!D190+'1.3.mell._HVÓBKI_Mérleg2014'!D190+'1.4.mell._HKK_Mérleg2014'!D190</f>
        <v>0</v>
      </c>
      <c r="E190" s="39">
        <f>+'1.1.mell._ÖNK_Mérleg2014'!E190+'1.2.mell._PH_Mérleg2014'!E190+'1.3.mell._HVÓBKI_Mérleg2014'!E190+'1.4.mell._HKK_Mérleg2014'!E190</f>
        <v>0</v>
      </c>
      <c r="F190" s="44">
        <f>+'1.1.mell._ÖNK_Mérleg2014'!F190+'1.2.mell._PH_Mérleg2014'!F190+'1.3.mell._HVÓBKI_Mérleg2014'!F190+'1.4.mell._HKK_Mérleg2014'!F190</f>
        <v>0</v>
      </c>
    </row>
    <row r="191" spans="1:6" ht="12.75" thickBot="1">
      <c r="A191" s="122" t="s">
        <v>259</v>
      </c>
      <c r="B191" s="112" t="s">
        <v>216</v>
      </c>
      <c r="C191" s="53">
        <f t="shared" si="12"/>
        <v>0</v>
      </c>
      <c r="D191" s="54">
        <f>+'1.1.mell._ÖNK_Mérleg2014'!D191+'1.2.mell._PH_Mérleg2014'!D191+'1.3.mell._HVÓBKI_Mérleg2014'!D191+'1.4.mell._HKK_Mérleg2014'!D191</f>
        <v>0</v>
      </c>
      <c r="E191" s="55">
        <f>+'1.1.mell._ÖNK_Mérleg2014'!E191+'1.2.mell._PH_Mérleg2014'!E191+'1.3.mell._HVÓBKI_Mérleg2014'!E191+'1.4.mell._HKK_Mérleg2014'!E191</f>
        <v>0</v>
      </c>
      <c r="F191" s="56">
        <f>+'1.1.mell._ÖNK_Mérleg2014'!F191+'1.2.mell._PH_Mérleg2014'!F191+'1.3.mell._HVÓBKI_Mérleg2014'!F191+'1.4.mell._HKK_Mérleg2014'!F191</f>
        <v>0</v>
      </c>
    </row>
    <row r="192" spans="1:6" s="29" customFormat="1" ht="12.75" thickBot="1">
      <c r="A192" s="127" t="s">
        <v>68</v>
      </c>
      <c r="B192" s="113" t="s">
        <v>367</v>
      </c>
      <c r="C192" s="71">
        <f>+C166+C179</f>
        <v>0</v>
      </c>
      <c r="D192" s="60">
        <f>+D166+D179</f>
        <v>0</v>
      </c>
      <c r="E192" s="61">
        <f>+E166+E179</f>
        <v>0</v>
      </c>
      <c r="F192" s="62">
        <f>+F166+F179</f>
        <v>0</v>
      </c>
    </row>
    <row r="193" spans="1:6" s="29" customFormat="1" ht="12.75" thickBot="1">
      <c r="A193" s="131" t="s">
        <v>67</v>
      </c>
      <c r="B193" s="115" t="s">
        <v>391</v>
      </c>
      <c r="C193" s="72">
        <f>+C165+C192</f>
        <v>1686903</v>
      </c>
      <c r="D193" s="57">
        <f>+D165+D192</f>
        <v>1650939</v>
      </c>
      <c r="E193" s="58">
        <f>+E165+E192</f>
        <v>35964</v>
      </c>
      <c r="F193" s="59">
        <f>+F165+F192</f>
        <v>0</v>
      </c>
    </row>
    <row r="196" spans="1:27" s="24" customFormat="1" ht="15.75">
      <c r="A196" s="1299" t="s">
        <v>117</v>
      </c>
      <c r="B196" s="1299"/>
      <c r="C196" s="1299"/>
      <c r="D196" s="1299"/>
      <c r="E196" s="1299"/>
      <c r="F196" s="1299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</row>
    <row r="197" spans="1:6" s="73" customFormat="1" ht="12.75" thickBot="1">
      <c r="A197" s="75" t="s">
        <v>320</v>
      </c>
      <c r="F197" s="74" t="s">
        <v>319</v>
      </c>
    </row>
    <row r="198" spans="1:6" s="29" customFormat="1" ht="12.75" thickBot="1">
      <c r="A198" s="127" t="s">
        <v>4</v>
      </c>
      <c r="B198" s="113" t="s">
        <v>368</v>
      </c>
      <c r="C198" s="71">
        <f>+C199+C200</f>
        <v>-90036</v>
      </c>
      <c r="D198" s="60">
        <f>+D199+D200</f>
        <v>-88436</v>
      </c>
      <c r="E198" s="61">
        <f>+E199+E200</f>
        <v>-1600</v>
      </c>
      <c r="F198" s="62">
        <f>+F199+F200</f>
        <v>0</v>
      </c>
    </row>
    <row r="199" spans="1:6" ht="12">
      <c r="A199" s="128" t="s">
        <v>109</v>
      </c>
      <c r="B199" s="116" t="s">
        <v>369</v>
      </c>
      <c r="C199" s="63">
        <f>+C10-C100</f>
        <v>-4613</v>
      </c>
      <c r="D199" s="68">
        <f>+D10-D100</f>
        <v>-13</v>
      </c>
      <c r="E199" s="38">
        <f>+E10-E100</f>
        <v>-4600</v>
      </c>
      <c r="F199" s="69">
        <f>+F10-F100</f>
        <v>0</v>
      </c>
    </row>
    <row r="200" spans="1:6" ht="12.75" thickBot="1">
      <c r="A200" s="132" t="s">
        <v>110</v>
      </c>
      <c r="B200" s="117" t="s">
        <v>370</v>
      </c>
      <c r="C200" s="52">
        <f>+C47-C139</f>
        <v>-85423</v>
      </c>
      <c r="D200" s="78">
        <f>+D47-D139</f>
        <v>-88423</v>
      </c>
      <c r="E200" s="45">
        <f>+E47-E139</f>
        <v>3000</v>
      </c>
      <c r="F200" s="77">
        <f>+F47-F139</f>
        <v>0</v>
      </c>
    </row>
    <row r="203" spans="1:27" s="24" customFormat="1" ht="15.75">
      <c r="A203" s="1299" t="s">
        <v>118</v>
      </c>
      <c r="B203" s="1299"/>
      <c r="C203" s="1299"/>
      <c r="D203" s="1299"/>
      <c r="E203" s="1299"/>
      <c r="F203" s="1299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</row>
    <row r="204" spans="1:6" s="73" customFormat="1" ht="12.75" thickBot="1">
      <c r="A204" s="75" t="s">
        <v>321</v>
      </c>
      <c r="F204" s="74" t="s">
        <v>319</v>
      </c>
    </row>
    <row r="205" spans="1:6" s="29" customFormat="1" ht="12.75" thickBot="1">
      <c r="A205" s="127" t="s">
        <v>4</v>
      </c>
      <c r="B205" s="113" t="s">
        <v>371</v>
      </c>
      <c r="C205" s="71">
        <f>+C206+C213</f>
        <v>90036</v>
      </c>
      <c r="D205" s="60">
        <f>+D206+D213</f>
        <v>90036</v>
      </c>
      <c r="E205" s="61">
        <f>+E206+E213</f>
        <v>0</v>
      </c>
      <c r="F205" s="62">
        <f>+F206+F213</f>
        <v>0</v>
      </c>
    </row>
    <row r="206" spans="1:6" s="29" customFormat="1" ht="12.75" thickBot="1">
      <c r="A206" s="127" t="s">
        <v>5</v>
      </c>
      <c r="B206" s="108" t="s">
        <v>372</v>
      </c>
      <c r="C206" s="71">
        <f>+C207-C210</f>
        <v>90036</v>
      </c>
      <c r="D206" s="60">
        <f>+D207-D210</f>
        <v>90036</v>
      </c>
      <c r="E206" s="61">
        <f>+E207-E210</f>
        <v>0</v>
      </c>
      <c r="F206" s="62">
        <f>+F207-F210</f>
        <v>0</v>
      </c>
    </row>
    <row r="207" spans="1:6" ht="12">
      <c r="A207" s="128" t="s">
        <v>82</v>
      </c>
      <c r="B207" s="109" t="s">
        <v>373</v>
      </c>
      <c r="C207" s="63">
        <f>+C208+C209</f>
        <v>90036</v>
      </c>
      <c r="D207" s="68">
        <f>+D208+D209</f>
        <v>90036</v>
      </c>
      <c r="E207" s="38">
        <f>+E208+E209</f>
        <v>0</v>
      </c>
      <c r="F207" s="69">
        <f>+F208+F209</f>
        <v>0</v>
      </c>
    </row>
    <row r="208" spans="1:6" s="41" customFormat="1" ht="12">
      <c r="A208" s="130" t="s">
        <v>228</v>
      </c>
      <c r="B208" s="110" t="s">
        <v>323</v>
      </c>
      <c r="C208" s="51">
        <f>+C71+C75</f>
        <v>90036</v>
      </c>
      <c r="D208" s="47">
        <f>+D71+D75</f>
        <v>90036</v>
      </c>
      <c r="E208" s="40">
        <f>+E71+E75</f>
        <v>0</v>
      </c>
      <c r="F208" s="43">
        <f>+F71+F75</f>
        <v>0</v>
      </c>
    </row>
    <row r="209" spans="1:6" s="41" customFormat="1" ht="12">
      <c r="A209" s="130" t="s">
        <v>229</v>
      </c>
      <c r="B209" s="110" t="s">
        <v>324</v>
      </c>
      <c r="C209" s="51">
        <f>+C69+C70+C72+C73+C74+C76</f>
        <v>0</v>
      </c>
      <c r="D209" s="47">
        <f>+D69+D70+D72+D73+D74+D76</f>
        <v>0</v>
      </c>
      <c r="E209" s="40">
        <f>+E69+E70+E72+E73+E74+E76</f>
        <v>0</v>
      </c>
      <c r="F209" s="43">
        <f>+F69+F70+F72+F73+F74+F76</f>
        <v>0</v>
      </c>
    </row>
    <row r="210" spans="1:6" ht="12">
      <c r="A210" s="129" t="s">
        <v>83</v>
      </c>
      <c r="B210" s="111" t="s">
        <v>374</v>
      </c>
      <c r="C210" s="50">
        <f>+C212</f>
        <v>0</v>
      </c>
      <c r="D210" s="48">
        <f>+D212</f>
        <v>0</v>
      </c>
      <c r="E210" s="39">
        <f>+E212</f>
        <v>0</v>
      </c>
      <c r="F210" s="44">
        <f>+F212</f>
        <v>0</v>
      </c>
    </row>
    <row r="211" spans="1:6" s="41" customFormat="1" ht="12">
      <c r="A211" s="130" t="s">
        <v>84</v>
      </c>
      <c r="B211" s="110" t="s">
        <v>325</v>
      </c>
      <c r="C211" s="51">
        <f>+C174</f>
        <v>0</v>
      </c>
      <c r="D211" s="47">
        <f>+D174</f>
        <v>0</v>
      </c>
      <c r="E211" s="40">
        <f>+E174</f>
        <v>0</v>
      </c>
      <c r="F211" s="43">
        <f>+F174</f>
        <v>0</v>
      </c>
    </row>
    <row r="212" spans="1:6" s="41" customFormat="1" ht="12.75" thickBot="1">
      <c r="A212" s="133" t="s">
        <v>85</v>
      </c>
      <c r="B212" s="118" t="s">
        <v>326</v>
      </c>
      <c r="C212" s="85">
        <f>+C169+C170+C171+C172+C173+C175+C176</f>
        <v>0</v>
      </c>
      <c r="D212" s="83">
        <f>+D169+D170+D171+D172+D173+D175+D176</f>
        <v>0</v>
      </c>
      <c r="E212" s="81">
        <f>+E169+E170+E171+E172+E173+E175+E176</f>
        <v>0</v>
      </c>
      <c r="F212" s="82">
        <f>+F169+F170+F171+F172+F173+F175+F176</f>
        <v>0</v>
      </c>
    </row>
    <row r="213" spans="1:6" s="29" customFormat="1" ht="12.75" thickBot="1">
      <c r="A213" s="127" t="s">
        <v>6</v>
      </c>
      <c r="B213" s="108" t="s">
        <v>375</v>
      </c>
      <c r="C213" s="71">
        <f>+C214-C217</f>
        <v>0</v>
      </c>
      <c r="D213" s="60">
        <f>+D214-D217</f>
        <v>0</v>
      </c>
      <c r="E213" s="61">
        <f>+E214-E217</f>
        <v>0</v>
      </c>
      <c r="F213" s="62">
        <f>+F214-F217</f>
        <v>0</v>
      </c>
    </row>
    <row r="214" spans="1:6" ht="12">
      <c r="A214" s="128" t="s">
        <v>86</v>
      </c>
      <c r="B214" s="109" t="s">
        <v>376</v>
      </c>
      <c r="C214" s="63">
        <f>+C215+C216</f>
        <v>0</v>
      </c>
      <c r="D214" s="68">
        <f>+D215+D216</f>
        <v>0</v>
      </c>
      <c r="E214" s="38">
        <f>+E215+E216</f>
        <v>0</v>
      </c>
      <c r="F214" s="69">
        <f>+F215+F216</f>
        <v>0</v>
      </c>
    </row>
    <row r="215" spans="1:6" s="41" customFormat="1" ht="12">
      <c r="A215" s="130" t="s">
        <v>331</v>
      </c>
      <c r="B215" s="110" t="s">
        <v>329</v>
      </c>
      <c r="C215" s="51">
        <f>+C84+C88</f>
        <v>0</v>
      </c>
      <c r="D215" s="47">
        <f>+D84+D88</f>
        <v>0</v>
      </c>
      <c r="E215" s="40">
        <f>+E84+E88</f>
        <v>0</v>
      </c>
      <c r="F215" s="43">
        <f>+F84+F88</f>
        <v>0</v>
      </c>
    </row>
    <row r="216" spans="1:6" s="41" customFormat="1" ht="12">
      <c r="A216" s="130" t="s">
        <v>332</v>
      </c>
      <c r="B216" s="110" t="s">
        <v>330</v>
      </c>
      <c r="C216" s="51">
        <f>+C82+C83+C85+C86+C87+C89</f>
        <v>0</v>
      </c>
      <c r="D216" s="47">
        <f>+D82+D83+D85+D86+D87+D89</f>
        <v>0</v>
      </c>
      <c r="E216" s="40">
        <f>+E82+E83+E85+E86+E87+E89</f>
        <v>0</v>
      </c>
      <c r="F216" s="43">
        <f>+F82+F83+F85+F86+F87+F89</f>
        <v>0</v>
      </c>
    </row>
    <row r="217" spans="1:6" ht="12">
      <c r="A217" s="129" t="s">
        <v>87</v>
      </c>
      <c r="B217" s="111" t="s">
        <v>377</v>
      </c>
      <c r="C217" s="50">
        <f>+C218+C219</f>
        <v>0</v>
      </c>
      <c r="D217" s="48">
        <f>+D218+D219</f>
        <v>0</v>
      </c>
      <c r="E217" s="39">
        <f>+E218+E219</f>
        <v>0</v>
      </c>
      <c r="F217" s="44">
        <f>+F218+F219</f>
        <v>0</v>
      </c>
    </row>
    <row r="218" spans="1:6" s="41" customFormat="1" ht="12">
      <c r="A218" s="130" t="s">
        <v>333</v>
      </c>
      <c r="B218" s="110" t="s">
        <v>327</v>
      </c>
      <c r="C218" s="51">
        <f>+C187</f>
        <v>0</v>
      </c>
      <c r="D218" s="47">
        <f>+D187</f>
        <v>0</v>
      </c>
      <c r="E218" s="40">
        <f>+E187</f>
        <v>0</v>
      </c>
      <c r="F218" s="43">
        <f>+F187</f>
        <v>0</v>
      </c>
    </row>
    <row r="219" spans="1:6" s="41" customFormat="1" ht="12.75" thickBot="1">
      <c r="A219" s="134" t="s">
        <v>334</v>
      </c>
      <c r="B219" s="119" t="s">
        <v>328</v>
      </c>
      <c r="C219" s="86">
        <f>+C182+C183+C184+C185+C186+C188+C189</f>
        <v>0</v>
      </c>
      <c r="D219" s="84">
        <f>+D182+D183+D184+D185+D186+D188+D189</f>
        <v>0</v>
      </c>
      <c r="E219" s="79">
        <f>+E182+E183+E184+E185+E186+E188+E189</f>
        <v>0</v>
      </c>
      <c r="F219" s="80">
        <f>+F182+F183+F184+F185+F186+F188+F189</f>
        <v>0</v>
      </c>
    </row>
    <row r="222" spans="1:27" s="24" customFormat="1" ht="15.75">
      <c r="A222" s="1299" t="s">
        <v>383</v>
      </c>
      <c r="B222" s="1299"/>
      <c r="C222" s="1299"/>
      <c r="D222" s="1299"/>
      <c r="E222" s="1299"/>
      <c r="F222" s="1299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</row>
    <row r="223" spans="1:6" s="73" customFormat="1" ht="12.75" thickBot="1">
      <c r="A223" s="75" t="s">
        <v>322</v>
      </c>
      <c r="F223" s="74"/>
    </row>
    <row r="224" spans="1:6" s="29" customFormat="1" ht="12">
      <c r="A224" s="135" t="s">
        <v>4</v>
      </c>
      <c r="B224" s="120" t="s">
        <v>119</v>
      </c>
      <c r="C224" s="94">
        <f>+D224+E224+F224</f>
        <v>110.5</v>
      </c>
      <c r="D224" s="95">
        <f>+'1.1.mell._ÖNK_Mérleg2014'!D224+'1.2.mell._PH_Mérleg2014'!D224+'1.3.mell._HVÓBKI_Mérleg2014'!D224+'1.4.mell._HKK_Mérleg2014'!D224</f>
        <v>107.5</v>
      </c>
      <c r="E224" s="96">
        <f>+'1.1.mell._ÖNK_Mérleg2014'!E224+'1.2.mell._PH_Mérleg2014'!E224+'1.3.mell._HVÓBKI_Mérleg2014'!E224+'1.4.mell._HKK_Mérleg2014'!E224</f>
        <v>3</v>
      </c>
      <c r="F224" s="97">
        <f>+'1.1.mell._ÖNK_Mérleg2014'!F224+'1.2.mell._PH_Mérleg2014'!F224+'1.3.mell._HVÓBKI_Mérleg2014'!F224+'1.4.mell._HKK_Mérleg2014'!F224</f>
        <v>0</v>
      </c>
    </row>
    <row r="225" spans="1:6" s="41" customFormat="1" ht="12">
      <c r="A225" s="133" t="s">
        <v>408</v>
      </c>
      <c r="B225" s="146" t="s">
        <v>409</v>
      </c>
      <c r="C225" s="147">
        <f>+D225+E225+F225</f>
        <v>0</v>
      </c>
      <c r="D225" s="148">
        <f>+'1.1.mell._ÖNK_Mérleg2014'!D225+'1.2.mell._PH_Mérleg2014'!D225+'1.3.mell._HVÓBKI_Mérleg2014'!D225+'1.4.mell._HKK_Mérleg2014'!D225</f>
        <v>0</v>
      </c>
      <c r="E225" s="149">
        <f>+'1.1.mell._ÖNK_Mérleg2014'!E225+'1.2.mell._PH_Mérleg2014'!E225+'1.3.mell._HVÓBKI_Mérleg2014'!E225+'1.4.mell._HKK_Mérleg2014'!E225</f>
        <v>0</v>
      </c>
      <c r="F225" s="150">
        <f>+'1.1.mell._ÖNK_Mérleg2014'!F225+'1.2.mell._PH_Mérleg2014'!F225+'1.3.mell._HVÓBKI_Mérleg2014'!F225+'1.4.mell._HKK_Mérleg2014'!F225</f>
        <v>0</v>
      </c>
    </row>
    <row r="226" spans="1:6" s="29" customFormat="1" ht="12.75" thickBot="1">
      <c r="A226" s="136" t="s">
        <v>5</v>
      </c>
      <c r="B226" s="121" t="s">
        <v>120</v>
      </c>
      <c r="C226" s="98">
        <f>+D226+E226+F226</f>
        <v>471</v>
      </c>
      <c r="D226" s="99">
        <f>+'1.1.mell._ÖNK_Mérleg2014'!D226+'1.2.mell._PH_Mérleg2014'!D226+'1.3.mell._HVÓBKI_Mérleg2014'!D226+'1.4.mell._HKK_Mérleg2014'!D226</f>
        <v>471</v>
      </c>
      <c r="E226" s="100">
        <f>+'1.1.mell._ÖNK_Mérleg2014'!E226+'1.2.mell._PH_Mérleg2014'!E226+'1.3.mell._HVÓBKI_Mérleg2014'!E226+'1.4.mell._HKK_Mérleg2014'!E226</f>
        <v>0</v>
      </c>
      <c r="F226" s="101">
        <f>+'1.1.mell._ÖNK_Mérleg2014'!F226+'1.2.mell._PH_Mérleg2014'!F226+'1.3.mell._HVÓBKI_Mérleg2014'!F226+'1.4.mell._HKK_Mérleg2014'!F226</f>
        <v>0</v>
      </c>
    </row>
    <row r="227" spans="1:6" s="29" customFormat="1" ht="12.75" thickBot="1">
      <c r="A227" s="127" t="s">
        <v>6</v>
      </c>
      <c r="B227" s="113" t="s">
        <v>380</v>
      </c>
      <c r="C227" s="102">
        <f>+C224+C226</f>
        <v>581.5</v>
      </c>
      <c r="D227" s="103">
        <f>+D224+D226</f>
        <v>578.5</v>
      </c>
      <c r="E227" s="104">
        <f>+E224+E226</f>
        <v>3</v>
      </c>
      <c r="F227" s="105">
        <f>+F224+F226</f>
        <v>0</v>
      </c>
    </row>
  </sheetData>
  <sheetProtection/>
  <mergeCells count="9">
    <mergeCell ref="A4:F4"/>
    <mergeCell ref="A3:F3"/>
    <mergeCell ref="A96:F96"/>
    <mergeCell ref="A196:F196"/>
    <mergeCell ref="A203:F203"/>
    <mergeCell ref="A222:F222"/>
    <mergeCell ref="C9:F9"/>
    <mergeCell ref="C99:F99"/>
    <mergeCell ref="A6:F6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portrait" paperSize="9" scale="45" r:id="rId1"/>
  <headerFooter>
    <oddHeader>&amp;C 1. melléklet - &amp;P. oldal</oddHeader>
  </headerFooter>
  <rowBreaks count="1" manualBreakCount="1">
    <brk id="9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AD227"/>
  <sheetViews>
    <sheetView zoomScale="80" zoomScaleNormal="80" zoomScalePageLayoutView="0" workbookViewId="0" topLeftCell="A1">
      <selection activeCell="F1" sqref="F1"/>
    </sheetView>
  </sheetViews>
  <sheetFormatPr defaultColWidth="9.00390625" defaultRowHeight="12.75"/>
  <cols>
    <col min="1" max="1" width="6.625" style="30" customWidth="1"/>
    <col min="2" max="2" width="109.625" style="30" bestFit="1" customWidth="1"/>
    <col min="3" max="16384" width="9.125" style="30" customWidth="1"/>
  </cols>
  <sheetData>
    <row r="1" s="90" customFormat="1" ht="15.75">
      <c r="F1" s="91" t="s">
        <v>1402</v>
      </c>
    </row>
    <row r="2" s="90" customFormat="1" ht="15.75"/>
    <row r="3" spans="1:6" s="92" customFormat="1" ht="15.75">
      <c r="A3" s="1298" t="s">
        <v>411</v>
      </c>
      <c r="B3" s="1298"/>
      <c r="C3" s="1298"/>
      <c r="D3" s="1298"/>
      <c r="E3" s="1298"/>
      <c r="F3" s="1298"/>
    </row>
    <row r="4" spans="1:6" s="92" customFormat="1" ht="15.75">
      <c r="A4" s="1298" t="s">
        <v>412</v>
      </c>
      <c r="B4" s="1298"/>
      <c r="C4" s="1298"/>
      <c r="D4" s="1298"/>
      <c r="E4" s="1298"/>
      <c r="F4" s="1298"/>
    </row>
    <row r="5" s="90" customFormat="1" ht="15.75"/>
    <row r="6" spans="1:6" s="92" customFormat="1" ht="15.75">
      <c r="A6" s="1298" t="s">
        <v>76</v>
      </c>
      <c r="B6" s="1298"/>
      <c r="C6" s="1298"/>
      <c r="D6" s="1298"/>
      <c r="E6" s="1298"/>
      <c r="F6" s="1298"/>
    </row>
    <row r="7" spans="1:6" s="73" customFormat="1" ht="12.75" thickBot="1">
      <c r="A7" s="75" t="s">
        <v>318</v>
      </c>
      <c r="F7" s="74" t="s">
        <v>319</v>
      </c>
    </row>
    <row r="8" spans="1:6" s="35" customFormat="1" ht="54" customHeight="1" thickBot="1">
      <c r="A8" s="123" t="s">
        <v>17</v>
      </c>
      <c r="B8" s="137" t="s">
        <v>378</v>
      </c>
      <c r="C8" s="31" t="s">
        <v>419</v>
      </c>
      <c r="D8" s="32" t="s">
        <v>79</v>
      </c>
      <c r="E8" s="33" t="s">
        <v>80</v>
      </c>
      <c r="F8" s="34" t="s">
        <v>81</v>
      </c>
    </row>
    <row r="9" spans="1:6" s="29" customFormat="1" ht="12.75" thickBot="1">
      <c r="A9" s="127" t="s">
        <v>291</v>
      </c>
      <c r="B9" s="138" t="s">
        <v>292</v>
      </c>
      <c r="C9" s="1300" t="s">
        <v>293</v>
      </c>
      <c r="D9" s="1301"/>
      <c r="E9" s="1301"/>
      <c r="F9" s="1302"/>
    </row>
    <row r="10" spans="1:6" s="29" customFormat="1" ht="12.75" thickBot="1">
      <c r="A10" s="139" t="s">
        <v>4</v>
      </c>
      <c r="B10" s="107" t="s">
        <v>335</v>
      </c>
      <c r="C10" s="70">
        <f>+C11+C25+C32+C43</f>
        <v>1501559</v>
      </c>
      <c r="D10" s="65">
        <f>+D11+D25+D32+D43</f>
        <v>1494449</v>
      </c>
      <c r="E10" s="66">
        <f>+E11+E25+E32+E43</f>
        <v>7110</v>
      </c>
      <c r="F10" s="67">
        <f>+F11+F25+F32+F43</f>
        <v>0</v>
      </c>
    </row>
    <row r="11" spans="1:6" s="29" customFormat="1" ht="12.75" customHeight="1" thickBot="1">
      <c r="A11" s="127" t="s">
        <v>5</v>
      </c>
      <c r="B11" s="108" t="s">
        <v>336</v>
      </c>
      <c r="C11" s="71">
        <f>+C12+C19+C20+C21+C22+C23</f>
        <v>1126187</v>
      </c>
      <c r="D11" s="60">
        <f>+D12+D19+D20+D21+D22+D23</f>
        <v>1124387</v>
      </c>
      <c r="E11" s="61">
        <f>+E12+E19+E20+E21+E22+E23</f>
        <v>1800</v>
      </c>
      <c r="F11" s="62">
        <f>+F12+F19+F20+F21+F22+F23</f>
        <v>0</v>
      </c>
    </row>
    <row r="12" spans="1:6" s="29" customFormat="1" ht="12">
      <c r="A12" s="128" t="s">
        <v>82</v>
      </c>
      <c r="B12" s="109" t="s">
        <v>337</v>
      </c>
      <c r="C12" s="63">
        <f>+C13+C14+C15+C16+C17+C18</f>
        <v>879197</v>
      </c>
      <c r="D12" s="46">
        <f>+D13+D14+D15+D16+D17+D18</f>
        <v>879197</v>
      </c>
      <c r="E12" s="37">
        <f>+E13+E14+E15+E16+E17+E18</f>
        <v>0</v>
      </c>
      <c r="F12" s="42">
        <f>+F13+F14+F15+F16+F17+F18</f>
        <v>0</v>
      </c>
    </row>
    <row r="13" spans="1:6" s="41" customFormat="1" ht="12">
      <c r="A13" s="130" t="s">
        <v>228</v>
      </c>
      <c r="B13" s="110" t="s">
        <v>121</v>
      </c>
      <c r="C13" s="51">
        <f>+D13+E13+F13</f>
        <v>222213</v>
      </c>
      <c r="D13" s="47">
        <v>222213</v>
      </c>
      <c r="E13" s="40">
        <v>0</v>
      </c>
      <c r="F13" s="43">
        <v>0</v>
      </c>
    </row>
    <row r="14" spans="1:6" s="41" customFormat="1" ht="12">
      <c r="A14" s="130" t="s">
        <v>229</v>
      </c>
      <c r="B14" s="110" t="s">
        <v>122</v>
      </c>
      <c r="C14" s="51">
        <f aca="true" t="shared" si="0" ref="C14:C24">+D14+E14+F14</f>
        <v>183133</v>
      </c>
      <c r="D14" s="47">
        <v>183133</v>
      </c>
      <c r="E14" s="40">
        <v>0</v>
      </c>
      <c r="F14" s="43">
        <v>0</v>
      </c>
    </row>
    <row r="15" spans="1:6" s="41" customFormat="1" ht="12">
      <c r="A15" s="130" t="s">
        <v>230</v>
      </c>
      <c r="B15" s="110" t="s">
        <v>123</v>
      </c>
      <c r="C15" s="51">
        <f t="shared" si="0"/>
        <v>340169</v>
      </c>
      <c r="D15" s="47">
        <v>340169</v>
      </c>
      <c r="E15" s="40">
        <v>0</v>
      </c>
      <c r="F15" s="43">
        <v>0</v>
      </c>
    </row>
    <row r="16" spans="1:6" s="41" customFormat="1" ht="12">
      <c r="A16" s="130" t="s">
        <v>231</v>
      </c>
      <c r="B16" s="110" t="s">
        <v>124</v>
      </c>
      <c r="C16" s="51">
        <f t="shared" si="0"/>
        <v>16277</v>
      </c>
      <c r="D16" s="47">
        <v>16277</v>
      </c>
      <c r="E16" s="40">
        <v>0</v>
      </c>
      <c r="F16" s="43">
        <v>0</v>
      </c>
    </row>
    <row r="17" spans="1:6" s="41" customFormat="1" ht="12">
      <c r="A17" s="130" t="s">
        <v>232</v>
      </c>
      <c r="B17" s="110" t="s">
        <v>125</v>
      </c>
      <c r="C17" s="51">
        <f t="shared" si="0"/>
        <v>3366</v>
      </c>
      <c r="D17" s="47">
        <v>3366</v>
      </c>
      <c r="E17" s="40">
        <v>0</v>
      </c>
      <c r="F17" s="43">
        <v>0</v>
      </c>
    </row>
    <row r="18" spans="1:6" s="41" customFormat="1" ht="12">
      <c r="A18" s="130" t="s">
        <v>233</v>
      </c>
      <c r="B18" s="110" t="s">
        <v>126</v>
      </c>
      <c r="C18" s="51">
        <f t="shared" si="0"/>
        <v>114039</v>
      </c>
      <c r="D18" s="47">
        <v>114039</v>
      </c>
      <c r="E18" s="40">
        <v>0</v>
      </c>
      <c r="F18" s="43">
        <v>0</v>
      </c>
    </row>
    <row r="19" spans="1:6" ht="12">
      <c r="A19" s="129" t="s">
        <v>83</v>
      </c>
      <c r="B19" s="111" t="s">
        <v>127</v>
      </c>
      <c r="C19" s="50">
        <f t="shared" si="0"/>
        <v>0</v>
      </c>
      <c r="D19" s="48">
        <v>0</v>
      </c>
      <c r="E19" s="39">
        <v>0</v>
      </c>
      <c r="F19" s="44">
        <v>0</v>
      </c>
    </row>
    <row r="20" spans="1:6" ht="12">
      <c r="A20" s="129" t="s">
        <v>111</v>
      </c>
      <c r="B20" s="111" t="s">
        <v>128</v>
      </c>
      <c r="C20" s="50">
        <f t="shared" si="0"/>
        <v>0</v>
      </c>
      <c r="D20" s="48">
        <v>0</v>
      </c>
      <c r="E20" s="39">
        <v>0</v>
      </c>
      <c r="F20" s="44">
        <v>0</v>
      </c>
    </row>
    <row r="21" spans="1:6" ht="12">
      <c r="A21" s="129" t="s">
        <v>112</v>
      </c>
      <c r="B21" s="111" t="s">
        <v>129</v>
      </c>
      <c r="C21" s="50">
        <f t="shared" si="0"/>
        <v>0</v>
      </c>
      <c r="D21" s="48">
        <v>0</v>
      </c>
      <c r="E21" s="39">
        <v>0</v>
      </c>
      <c r="F21" s="44">
        <v>0</v>
      </c>
    </row>
    <row r="22" spans="1:6" ht="12">
      <c r="A22" s="129" t="s">
        <v>113</v>
      </c>
      <c r="B22" s="111" t="s">
        <v>130</v>
      </c>
      <c r="C22" s="50">
        <f t="shared" si="0"/>
        <v>0</v>
      </c>
      <c r="D22" s="48">
        <v>0</v>
      </c>
      <c r="E22" s="39">
        <v>0</v>
      </c>
      <c r="F22" s="44">
        <v>0</v>
      </c>
    </row>
    <row r="23" spans="1:6" ht="12">
      <c r="A23" s="122" t="s">
        <v>114</v>
      </c>
      <c r="B23" s="112" t="s">
        <v>131</v>
      </c>
      <c r="C23" s="53">
        <f t="shared" si="0"/>
        <v>246990</v>
      </c>
      <c r="D23" s="54">
        <v>245190</v>
      </c>
      <c r="E23" s="55">
        <v>1800</v>
      </c>
      <c r="F23" s="56">
        <v>0</v>
      </c>
    </row>
    <row r="24" spans="1:6" s="41" customFormat="1" ht="12.75" thickBot="1">
      <c r="A24" s="133" t="s">
        <v>384</v>
      </c>
      <c r="B24" s="106" t="s">
        <v>385</v>
      </c>
      <c r="C24" s="85">
        <f t="shared" si="0"/>
        <v>0</v>
      </c>
      <c r="D24" s="83">
        <v>0</v>
      </c>
      <c r="E24" s="81">
        <v>0</v>
      </c>
      <c r="F24" s="82">
        <v>0</v>
      </c>
    </row>
    <row r="25" spans="1:6" s="29" customFormat="1" ht="12.75" customHeight="1" thickBot="1">
      <c r="A25" s="127" t="s">
        <v>6</v>
      </c>
      <c r="B25" s="108" t="s">
        <v>1090</v>
      </c>
      <c r="C25" s="71">
        <f>+C26+C27+C28+C29+C30+C31</f>
        <v>295460</v>
      </c>
      <c r="D25" s="60">
        <f>+D26+D27+D28+D29+D30+D31</f>
        <v>290150</v>
      </c>
      <c r="E25" s="61">
        <f>+E26+E27+E28+E29+E30+E31</f>
        <v>5310</v>
      </c>
      <c r="F25" s="62">
        <f>+F26+F27+F28+F29+F30+F31</f>
        <v>0</v>
      </c>
    </row>
    <row r="26" spans="1:6" ht="12.75" customHeight="1">
      <c r="A26" s="128" t="s">
        <v>86</v>
      </c>
      <c r="B26" s="109" t="s">
        <v>132</v>
      </c>
      <c r="C26" s="63">
        <f aca="true" t="shared" si="1" ref="C26:C31">+D26+E26+F26</f>
        <v>200</v>
      </c>
      <c r="D26" s="68">
        <v>200</v>
      </c>
      <c r="E26" s="38">
        <v>0</v>
      </c>
      <c r="F26" s="69">
        <v>0</v>
      </c>
    </row>
    <row r="27" spans="1:6" ht="12.75" customHeight="1">
      <c r="A27" s="129" t="s">
        <v>87</v>
      </c>
      <c r="B27" s="111" t="s">
        <v>133</v>
      </c>
      <c r="C27" s="50">
        <f t="shared" si="1"/>
        <v>0</v>
      </c>
      <c r="D27" s="48">
        <v>0</v>
      </c>
      <c r="E27" s="39">
        <v>0</v>
      </c>
      <c r="F27" s="44">
        <v>0</v>
      </c>
    </row>
    <row r="28" spans="1:6" ht="12.75" customHeight="1">
      <c r="A28" s="129" t="s">
        <v>88</v>
      </c>
      <c r="B28" s="111" t="s">
        <v>134</v>
      </c>
      <c r="C28" s="50">
        <f t="shared" si="1"/>
        <v>0</v>
      </c>
      <c r="D28" s="48">
        <v>0</v>
      </c>
      <c r="E28" s="39">
        <v>0</v>
      </c>
      <c r="F28" s="44">
        <v>0</v>
      </c>
    </row>
    <row r="29" spans="1:6" ht="12.75" customHeight="1">
      <c r="A29" s="129" t="s">
        <v>218</v>
      </c>
      <c r="B29" s="111" t="s">
        <v>135</v>
      </c>
      <c r="C29" s="50">
        <f t="shared" si="1"/>
        <v>42600</v>
      </c>
      <c r="D29" s="48">
        <v>42600</v>
      </c>
      <c r="E29" s="39">
        <v>0</v>
      </c>
      <c r="F29" s="44">
        <v>0</v>
      </c>
    </row>
    <row r="30" spans="1:6" ht="12.75" customHeight="1">
      <c r="A30" s="122" t="s">
        <v>219</v>
      </c>
      <c r="B30" s="112" t="s">
        <v>136</v>
      </c>
      <c r="C30" s="53">
        <f t="shared" si="1"/>
        <v>241650</v>
      </c>
      <c r="D30" s="54">
        <v>241650</v>
      </c>
      <c r="E30" s="55">
        <v>0</v>
      </c>
      <c r="F30" s="56">
        <v>0</v>
      </c>
    </row>
    <row r="31" spans="1:6" ht="12.75" customHeight="1" thickBot="1">
      <c r="A31" s="122" t="s">
        <v>1089</v>
      </c>
      <c r="B31" s="112" t="s">
        <v>1091</v>
      </c>
      <c r="C31" s="53">
        <f t="shared" si="1"/>
        <v>11010</v>
      </c>
      <c r="D31" s="54">
        <v>5700</v>
      </c>
      <c r="E31" s="55">
        <v>5310</v>
      </c>
      <c r="F31" s="56">
        <v>0</v>
      </c>
    </row>
    <row r="32" spans="1:6" s="29" customFormat="1" ht="12.75" customHeight="1" thickBot="1">
      <c r="A32" s="127" t="s">
        <v>3</v>
      </c>
      <c r="B32" s="108" t="s">
        <v>338</v>
      </c>
      <c r="C32" s="71">
        <f>+C33+C34+C35+C36+C37+C38+C39+C40+C41+C42</f>
        <v>25750</v>
      </c>
      <c r="D32" s="60">
        <f>+D33+D34+D35+D36+D37+D38+D39+D40+D41+D42</f>
        <v>25750</v>
      </c>
      <c r="E32" s="61">
        <f>+E33+E34+E35+E36+E37+E38+E39+E40+E41+E42</f>
        <v>0</v>
      </c>
      <c r="F32" s="62">
        <f>+F33+F34+F35+F36+F37+F38+F39+F40+F41+F42</f>
        <v>0</v>
      </c>
    </row>
    <row r="33" spans="1:6" ht="12.75" customHeight="1">
      <c r="A33" s="128" t="s">
        <v>89</v>
      </c>
      <c r="B33" s="109" t="s">
        <v>137</v>
      </c>
      <c r="C33" s="63">
        <f aca="true" t="shared" si="2" ref="C33:C42">+D33+E33+F33</f>
        <v>0</v>
      </c>
      <c r="D33" s="68">
        <v>0</v>
      </c>
      <c r="E33" s="38">
        <v>0</v>
      </c>
      <c r="F33" s="69">
        <v>0</v>
      </c>
    </row>
    <row r="34" spans="1:6" ht="12.75" customHeight="1">
      <c r="A34" s="129" t="s">
        <v>90</v>
      </c>
      <c r="B34" s="111" t="s">
        <v>138</v>
      </c>
      <c r="C34" s="50">
        <f t="shared" si="2"/>
        <v>19097</v>
      </c>
      <c r="D34" s="48">
        <v>19097</v>
      </c>
      <c r="E34" s="39">
        <v>0</v>
      </c>
      <c r="F34" s="44">
        <v>0</v>
      </c>
    </row>
    <row r="35" spans="1:6" ht="12.75" customHeight="1">
      <c r="A35" s="129" t="s">
        <v>91</v>
      </c>
      <c r="B35" s="111" t="s">
        <v>139</v>
      </c>
      <c r="C35" s="50">
        <f t="shared" si="2"/>
        <v>525</v>
      </c>
      <c r="D35" s="48">
        <v>525</v>
      </c>
      <c r="E35" s="39">
        <v>0</v>
      </c>
      <c r="F35" s="44">
        <v>0</v>
      </c>
    </row>
    <row r="36" spans="1:6" ht="12.75" customHeight="1">
      <c r="A36" s="129" t="s">
        <v>92</v>
      </c>
      <c r="B36" s="111" t="s">
        <v>140</v>
      </c>
      <c r="C36" s="50">
        <f t="shared" si="2"/>
        <v>244</v>
      </c>
      <c r="D36" s="48">
        <v>244</v>
      </c>
      <c r="E36" s="39">
        <v>0</v>
      </c>
      <c r="F36" s="44">
        <v>0</v>
      </c>
    </row>
    <row r="37" spans="1:6" ht="12.75" customHeight="1">
      <c r="A37" s="129" t="s">
        <v>93</v>
      </c>
      <c r="B37" s="111" t="s">
        <v>141</v>
      </c>
      <c r="C37" s="50">
        <f t="shared" si="2"/>
        <v>0</v>
      </c>
      <c r="D37" s="48">
        <v>0</v>
      </c>
      <c r="E37" s="39">
        <v>0</v>
      </c>
      <c r="F37" s="44">
        <v>0</v>
      </c>
    </row>
    <row r="38" spans="1:6" ht="12.75" customHeight="1">
      <c r="A38" s="129" t="s">
        <v>260</v>
      </c>
      <c r="B38" s="111" t="s">
        <v>142</v>
      </c>
      <c r="C38" s="50">
        <f t="shared" si="2"/>
        <v>4884</v>
      </c>
      <c r="D38" s="48">
        <v>4884</v>
      </c>
      <c r="E38" s="39">
        <v>0</v>
      </c>
      <c r="F38" s="44">
        <v>0</v>
      </c>
    </row>
    <row r="39" spans="1:6" ht="12.75" customHeight="1">
      <c r="A39" s="129" t="s">
        <v>261</v>
      </c>
      <c r="B39" s="111" t="s">
        <v>143</v>
      </c>
      <c r="C39" s="50">
        <f t="shared" si="2"/>
        <v>0</v>
      </c>
      <c r="D39" s="48">
        <v>0</v>
      </c>
      <c r="E39" s="39">
        <v>0</v>
      </c>
      <c r="F39" s="44">
        <v>0</v>
      </c>
    </row>
    <row r="40" spans="1:6" ht="12.75" customHeight="1">
      <c r="A40" s="129" t="s">
        <v>262</v>
      </c>
      <c r="B40" s="111" t="s">
        <v>144</v>
      </c>
      <c r="C40" s="50">
        <f t="shared" si="2"/>
        <v>1000</v>
      </c>
      <c r="D40" s="48">
        <v>1000</v>
      </c>
      <c r="E40" s="39">
        <v>0</v>
      </c>
      <c r="F40" s="44">
        <v>0</v>
      </c>
    </row>
    <row r="41" spans="1:6" ht="12.75" customHeight="1">
      <c r="A41" s="129" t="s">
        <v>263</v>
      </c>
      <c r="B41" s="111" t="s">
        <v>145</v>
      </c>
      <c r="C41" s="50">
        <f t="shared" si="2"/>
        <v>0</v>
      </c>
      <c r="D41" s="48">
        <v>0</v>
      </c>
      <c r="E41" s="39">
        <v>0</v>
      </c>
      <c r="F41" s="44">
        <v>0</v>
      </c>
    </row>
    <row r="42" spans="1:6" ht="12.75" customHeight="1" thickBot="1">
      <c r="A42" s="122" t="s">
        <v>264</v>
      </c>
      <c r="B42" s="112" t="s">
        <v>146</v>
      </c>
      <c r="C42" s="53">
        <f t="shared" si="2"/>
        <v>0</v>
      </c>
      <c r="D42" s="54">
        <v>0</v>
      </c>
      <c r="E42" s="55">
        <v>0</v>
      </c>
      <c r="F42" s="56">
        <v>0</v>
      </c>
    </row>
    <row r="43" spans="1:6" s="29" customFormat="1" ht="12.75" thickBot="1">
      <c r="A43" s="127" t="s">
        <v>16</v>
      </c>
      <c r="B43" s="108" t="s">
        <v>339</v>
      </c>
      <c r="C43" s="71">
        <f>+C44+C45+C46</f>
        <v>54162</v>
      </c>
      <c r="D43" s="60">
        <f>+D44+D45+D46</f>
        <v>54162</v>
      </c>
      <c r="E43" s="61">
        <f>+E44+E45+E46</f>
        <v>0</v>
      </c>
      <c r="F43" s="62">
        <f>+F44+F45+F46</f>
        <v>0</v>
      </c>
    </row>
    <row r="44" spans="1:6" ht="12.75" customHeight="1">
      <c r="A44" s="128" t="s">
        <v>265</v>
      </c>
      <c r="B44" s="109" t="s">
        <v>147</v>
      </c>
      <c r="C44" s="63">
        <f>+D44+E44+F44</f>
        <v>0</v>
      </c>
      <c r="D44" s="68">
        <v>0</v>
      </c>
      <c r="E44" s="38">
        <v>0</v>
      </c>
      <c r="F44" s="69">
        <v>0</v>
      </c>
    </row>
    <row r="45" spans="1:6" ht="12.75" customHeight="1">
      <c r="A45" s="129" t="s">
        <v>266</v>
      </c>
      <c r="B45" s="111" t="s">
        <v>148</v>
      </c>
      <c r="C45" s="50">
        <f>+D45+E45+F45</f>
        <v>54162</v>
      </c>
      <c r="D45" s="48">
        <v>54162</v>
      </c>
      <c r="E45" s="39">
        <v>0</v>
      </c>
      <c r="F45" s="44">
        <v>0</v>
      </c>
    </row>
    <row r="46" spans="1:6" ht="12.75" customHeight="1" thickBot="1">
      <c r="A46" s="122" t="s">
        <v>267</v>
      </c>
      <c r="B46" s="112" t="s">
        <v>149</v>
      </c>
      <c r="C46" s="53">
        <f>+D46+E46+F46</f>
        <v>0</v>
      </c>
      <c r="D46" s="54">
        <v>0</v>
      </c>
      <c r="E46" s="55">
        <v>0</v>
      </c>
      <c r="F46" s="56">
        <v>0</v>
      </c>
    </row>
    <row r="47" spans="1:6" s="29" customFormat="1" ht="12.75" thickBot="1">
      <c r="A47" s="127" t="s">
        <v>15</v>
      </c>
      <c r="B47" s="113" t="s">
        <v>340</v>
      </c>
      <c r="C47" s="71">
        <f>+C48+C55+C61</f>
        <v>26356</v>
      </c>
      <c r="D47" s="60">
        <f>+D48+D55+D61</f>
        <v>23356</v>
      </c>
      <c r="E47" s="61">
        <f>+E48+E55+E61</f>
        <v>3000</v>
      </c>
      <c r="F47" s="62">
        <f>+F48+F55+F61</f>
        <v>0</v>
      </c>
    </row>
    <row r="48" spans="1:6" s="29" customFormat="1" ht="12.75" customHeight="1" thickBot="1">
      <c r="A48" s="127" t="s">
        <v>14</v>
      </c>
      <c r="B48" s="108" t="s">
        <v>341</v>
      </c>
      <c r="C48" s="71">
        <f>+C49+C50+C51+C52+C53</f>
        <v>23356</v>
      </c>
      <c r="D48" s="60">
        <f>+D49+D50+D51+D52+D53</f>
        <v>23356</v>
      </c>
      <c r="E48" s="61">
        <f>+E49+E50+E51+E52+E53</f>
        <v>0</v>
      </c>
      <c r="F48" s="62">
        <f>+F49+F50+F51+F52+F53</f>
        <v>0</v>
      </c>
    </row>
    <row r="49" spans="1:6" ht="12">
      <c r="A49" s="128" t="s">
        <v>223</v>
      </c>
      <c r="B49" s="109" t="s">
        <v>150</v>
      </c>
      <c r="C49" s="63">
        <f aca="true" t="shared" si="3" ref="C49:C54">+D49+E49+F49</f>
        <v>0</v>
      </c>
      <c r="D49" s="68">
        <v>0</v>
      </c>
      <c r="E49" s="38">
        <v>0</v>
      </c>
      <c r="F49" s="69">
        <v>0</v>
      </c>
    </row>
    <row r="50" spans="1:6" ht="12">
      <c r="A50" s="129" t="s">
        <v>224</v>
      </c>
      <c r="B50" s="111" t="s">
        <v>151</v>
      </c>
      <c r="C50" s="50">
        <f t="shared" si="3"/>
        <v>0</v>
      </c>
      <c r="D50" s="48">
        <v>0</v>
      </c>
      <c r="E50" s="39">
        <v>0</v>
      </c>
      <c r="F50" s="44">
        <v>0</v>
      </c>
    </row>
    <row r="51" spans="1:6" ht="12">
      <c r="A51" s="129" t="s">
        <v>225</v>
      </c>
      <c r="B51" s="111" t="s">
        <v>152</v>
      </c>
      <c r="C51" s="50">
        <f t="shared" si="3"/>
        <v>0</v>
      </c>
      <c r="D51" s="48">
        <v>0</v>
      </c>
      <c r="E51" s="39">
        <v>0</v>
      </c>
      <c r="F51" s="44">
        <v>0</v>
      </c>
    </row>
    <row r="52" spans="1:6" ht="12">
      <c r="A52" s="129" t="s">
        <v>226</v>
      </c>
      <c r="B52" s="111" t="s">
        <v>153</v>
      </c>
      <c r="C52" s="50">
        <f t="shared" si="3"/>
        <v>0</v>
      </c>
      <c r="D52" s="48">
        <v>0</v>
      </c>
      <c r="E52" s="39">
        <v>0</v>
      </c>
      <c r="F52" s="44">
        <v>0</v>
      </c>
    </row>
    <row r="53" spans="1:6" ht="12">
      <c r="A53" s="122" t="s">
        <v>227</v>
      </c>
      <c r="B53" s="112" t="s">
        <v>154</v>
      </c>
      <c r="C53" s="53">
        <f t="shared" si="3"/>
        <v>23356</v>
      </c>
      <c r="D53" s="54">
        <v>23356</v>
      </c>
      <c r="E53" s="55">
        <v>0</v>
      </c>
      <c r="F53" s="56">
        <v>0</v>
      </c>
    </row>
    <row r="54" spans="1:6" s="41" customFormat="1" ht="12.75" thickBot="1">
      <c r="A54" s="133" t="s">
        <v>386</v>
      </c>
      <c r="B54" s="106" t="s">
        <v>394</v>
      </c>
      <c r="C54" s="85">
        <f t="shared" si="3"/>
        <v>23356</v>
      </c>
      <c r="D54" s="83">
        <v>23356</v>
      </c>
      <c r="E54" s="81">
        <v>0</v>
      </c>
      <c r="F54" s="82">
        <v>0</v>
      </c>
    </row>
    <row r="55" spans="1:6" s="29" customFormat="1" ht="12.75" customHeight="1" thickBot="1">
      <c r="A55" s="127" t="s">
        <v>13</v>
      </c>
      <c r="B55" s="108" t="s">
        <v>342</v>
      </c>
      <c r="C55" s="71">
        <f>+C56+C57+C58+C59+C60</f>
        <v>300</v>
      </c>
      <c r="D55" s="60">
        <f>+D56+D57+D58+D59+D60</f>
        <v>0</v>
      </c>
      <c r="E55" s="61">
        <f>+E56+E57+E58+E59+E60</f>
        <v>300</v>
      </c>
      <c r="F55" s="62">
        <f>+F56+F57+F58+F59+F60</f>
        <v>0</v>
      </c>
    </row>
    <row r="56" spans="1:6" ht="12.75" customHeight="1">
      <c r="A56" s="128" t="s">
        <v>94</v>
      </c>
      <c r="B56" s="109" t="s">
        <v>155</v>
      </c>
      <c r="C56" s="63">
        <f>+D56+E56+F56</f>
        <v>0</v>
      </c>
      <c r="D56" s="68">
        <v>0</v>
      </c>
      <c r="E56" s="38">
        <v>0</v>
      </c>
      <c r="F56" s="69">
        <v>0</v>
      </c>
    </row>
    <row r="57" spans="1:6" ht="12.75" customHeight="1">
      <c r="A57" s="129" t="s">
        <v>95</v>
      </c>
      <c r="B57" s="111" t="s">
        <v>156</v>
      </c>
      <c r="C57" s="50">
        <f>+D57+E57+F57</f>
        <v>300</v>
      </c>
      <c r="D57" s="48">
        <v>0</v>
      </c>
      <c r="E57" s="39">
        <v>300</v>
      </c>
      <c r="F57" s="44">
        <v>0</v>
      </c>
    </row>
    <row r="58" spans="1:6" ht="12.75" customHeight="1">
      <c r="A58" s="129" t="s">
        <v>96</v>
      </c>
      <c r="B58" s="111" t="s">
        <v>157</v>
      </c>
      <c r="C58" s="50">
        <f>+D58+E58+F58</f>
        <v>0</v>
      </c>
      <c r="D58" s="48">
        <v>0</v>
      </c>
      <c r="E58" s="39">
        <v>0</v>
      </c>
      <c r="F58" s="44">
        <v>0</v>
      </c>
    </row>
    <row r="59" spans="1:6" ht="12.75" customHeight="1">
      <c r="A59" s="129" t="s">
        <v>268</v>
      </c>
      <c r="B59" s="111" t="s">
        <v>158</v>
      </c>
      <c r="C59" s="50">
        <f>+D59+E59+F59</f>
        <v>0</v>
      </c>
      <c r="D59" s="48">
        <v>0</v>
      </c>
      <c r="E59" s="39">
        <v>0</v>
      </c>
      <c r="F59" s="44">
        <v>0</v>
      </c>
    </row>
    <row r="60" spans="1:6" ht="12.75" customHeight="1" thickBot="1">
      <c r="A60" s="122" t="s">
        <v>269</v>
      </c>
      <c r="B60" s="112" t="s">
        <v>159</v>
      </c>
      <c r="C60" s="53">
        <f>+D60+E60+F60</f>
        <v>0</v>
      </c>
      <c r="D60" s="54">
        <v>0</v>
      </c>
      <c r="E60" s="55">
        <v>0</v>
      </c>
      <c r="F60" s="56">
        <v>0</v>
      </c>
    </row>
    <row r="61" spans="1:6" s="29" customFormat="1" ht="12.75" thickBot="1">
      <c r="A61" s="127" t="s">
        <v>12</v>
      </c>
      <c r="B61" s="108" t="s">
        <v>343</v>
      </c>
      <c r="C61" s="71">
        <f>+C62+C63+C64</f>
        <v>2700</v>
      </c>
      <c r="D61" s="60">
        <f>+D62+D63+D64</f>
        <v>0</v>
      </c>
      <c r="E61" s="61">
        <f>+E62+E63+E64</f>
        <v>2700</v>
      </c>
      <c r="F61" s="62">
        <f>+F62+F63+F64</f>
        <v>0</v>
      </c>
    </row>
    <row r="62" spans="1:6" ht="12">
      <c r="A62" s="128" t="s">
        <v>97</v>
      </c>
      <c r="B62" s="109" t="s">
        <v>160</v>
      </c>
      <c r="C62" s="63">
        <f>+D62+E62+F62</f>
        <v>0</v>
      </c>
      <c r="D62" s="68">
        <v>0</v>
      </c>
      <c r="E62" s="38">
        <v>0</v>
      </c>
      <c r="F62" s="69">
        <v>0</v>
      </c>
    </row>
    <row r="63" spans="1:6" ht="12">
      <c r="A63" s="129" t="s">
        <v>98</v>
      </c>
      <c r="B63" s="111" t="s">
        <v>161</v>
      </c>
      <c r="C63" s="50">
        <f>+D63+E63+F63</f>
        <v>0</v>
      </c>
      <c r="D63" s="48">
        <v>0</v>
      </c>
      <c r="E63" s="39">
        <v>0</v>
      </c>
      <c r="F63" s="44">
        <v>0</v>
      </c>
    </row>
    <row r="64" spans="1:6" ht="12.75" thickBot="1">
      <c r="A64" s="122" t="s">
        <v>99</v>
      </c>
      <c r="B64" s="112" t="s">
        <v>162</v>
      </c>
      <c r="C64" s="53">
        <f>+D64+E64+F64</f>
        <v>2700</v>
      </c>
      <c r="D64" s="54">
        <v>0</v>
      </c>
      <c r="E64" s="55">
        <v>2700</v>
      </c>
      <c r="F64" s="56">
        <v>0</v>
      </c>
    </row>
    <row r="65" spans="1:6" s="29" customFormat="1" ht="12.75" thickBot="1">
      <c r="A65" s="127" t="s">
        <v>11</v>
      </c>
      <c r="B65" s="113" t="s">
        <v>344</v>
      </c>
      <c r="C65" s="71">
        <f>+C10+C47</f>
        <v>1527915</v>
      </c>
      <c r="D65" s="60">
        <f>+D10+D47</f>
        <v>1517805</v>
      </c>
      <c r="E65" s="61">
        <f>+E10+E47</f>
        <v>10110</v>
      </c>
      <c r="F65" s="62">
        <f>+F10+F47</f>
        <v>0</v>
      </c>
    </row>
    <row r="66" spans="1:6" s="29" customFormat="1" ht="12.75" thickBot="1">
      <c r="A66" s="127" t="s">
        <v>10</v>
      </c>
      <c r="B66" s="114" t="s">
        <v>345</v>
      </c>
      <c r="C66" s="71">
        <f>+C67</f>
        <v>90036</v>
      </c>
      <c r="D66" s="60">
        <f>+D67</f>
        <v>90036</v>
      </c>
      <c r="E66" s="61">
        <f>+E67</f>
        <v>0</v>
      </c>
      <c r="F66" s="62">
        <f>+F67</f>
        <v>0</v>
      </c>
    </row>
    <row r="67" spans="1:6" s="29" customFormat="1" ht="12.75" thickBot="1">
      <c r="A67" s="127" t="s">
        <v>9</v>
      </c>
      <c r="B67" s="108" t="s">
        <v>346</v>
      </c>
      <c r="C67" s="71">
        <f>+C68+C77+C78</f>
        <v>90036</v>
      </c>
      <c r="D67" s="60">
        <f>+D68+D77+D78</f>
        <v>90036</v>
      </c>
      <c r="E67" s="61">
        <f>+E68+E77+E78</f>
        <v>0</v>
      </c>
      <c r="F67" s="62">
        <f>+F68+F77+F78</f>
        <v>0</v>
      </c>
    </row>
    <row r="68" spans="1:6" ht="12">
      <c r="A68" s="128" t="s">
        <v>101</v>
      </c>
      <c r="B68" s="109" t="s">
        <v>347</v>
      </c>
      <c r="C68" s="63">
        <f>+C69+C70+C71+C72+C73+C74+C75+C76</f>
        <v>90036</v>
      </c>
      <c r="D68" s="68">
        <f>+D69+D70+D71+D72+D73+D74+D75+D76</f>
        <v>90036</v>
      </c>
      <c r="E68" s="38">
        <f>+E69+E70+E71+E72+E73+E74+E75+E76</f>
        <v>0</v>
      </c>
      <c r="F68" s="69">
        <f>+F69+F70+F71+F72+F73+F74+F75+F76</f>
        <v>0</v>
      </c>
    </row>
    <row r="69" spans="1:6" s="41" customFormat="1" ht="12">
      <c r="A69" s="130" t="s">
        <v>234</v>
      </c>
      <c r="B69" s="110" t="s">
        <v>284</v>
      </c>
      <c r="C69" s="51">
        <f aca="true" t="shared" si="4" ref="C69:C78">+D69+E69+F69</f>
        <v>0</v>
      </c>
      <c r="D69" s="47">
        <v>0</v>
      </c>
      <c r="E69" s="40">
        <v>0</v>
      </c>
      <c r="F69" s="43">
        <v>0</v>
      </c>
    </row>
    <row r="70" spans="1:6" s="41" customFormat="1" ht="12">
      <c r="A70" s="130" t="s">
        <v>235</v>
      </c>
      <c r="B70" s="110" t="s">
        <v>285</v>
      </c>
      <c r="C70" s="51">
        <f t="shared" si="4"/>
        <v>0</v>
      </c>
      <c r="D70" s="47">
        <v>0</v>
      </c>
      <c r="E70" s="40">
        <v>0</v>
      </c>
      <c r="F70" s="43">
        <v>0</v>
      </c>
    </row>
    <row r="71" spans="1:6" s="41" customFormat="1" ht="12">
      <c r="A71" s="130" t="s">
        <v>236</v>
      </c>
      <c r="B71" s="110" t="s">
        <v>286</v>
      </c>
      <c r="C71" s="51">
        <f t="shared" si="4"/>
        <v>90036</v>
      </c>
      <c r="D71" s="47">
        <v>90036</v>
      </c>
      <c r="E71" s="40">
        <v>0</v>
      </c>
      <c r="F71" s="43">
        <v>0</v>
      </c>
    </row>
    <row r="72" spans="1:6" s="41" customFormat="1" ht="12">
      <c r="A72" s="130" t="s">
        <v>237</v>
      </c>
      <c r="B72" s="110" t="s">
        <v>287</v>
      </c>
      <c r="C72" s="51">
        <f t="shared" si="4"/>
        <v>0</v>
      </c>
      <c r="D72" s="47">
        <v>0</v>
      </c>
      <c r="E72" s="40">
        <v>0</v>
      </c>
      <c r="F72" s="43">
        <v>0</v>
      </c>
    </row>
    <row r="73" spans="1:6" s="41" customFormat="1" ht="12">
      <c r="A73" s="130" t="s">
        <v>238</v>
      </c>
      <c r="B73" s="110" t="s">
        <v>288</v>
      </c>
      <c r="C73" s="51">
        <f t="shared" si="4"/>
        <v>0</v>
      </c>
      <c r="D73" s="47">
        <v>0</v>
      </c>
      <c r="E73" s="40">
        <v>0</v>
      </c>
      <c r="F73" s="43">
        <v>0</v>
      </c>
    </row>
    <row r="74" spans="1:6" s="175" customFormat="1" ht="12">
      <c r="A74" s="157" t="s">
        <v>239</v>
      </c>
      <c r="B74" s="158" t="s">
        <v>289</v>
      </c>
      <c r="C74" s="168">
        <f t="shared" si="4"/>
        <v>0</v>
      </c>
      <c r="D74" s="1043">
        <v>0</v>
      </c>
      <c r="E74" s="1044">
        <v>0</v>
      </c>
      <c r="F74" s="1045">
        <v>0</v>
      </c>
    </row>
    <row r="75" spans="1:6" s="175" customFormat="1" ht="12">
      <c r="A75" s="157" t="s">
        <v>242</v>
      </c>
      <c r="B75" s="158" t="s">
        <v>290</v>
      </c>
      <c r="C75" s="168">
        <f t="shared" si="4"/>
        <v>0</v>
      </c>
      <c r="D75" s="1043">
        <v>0</v>
      </c>
      <c r="E75" s="1044">
        <v>0</v>
      </c>
      <c r="F75" s="1045">
        <v>0</v>
      </c>
    </row>
    <row r="76" spans="1:6" s="175" customFormat="1" ht="12">
      <c r="A76" s="157" t="s">
        <v>240</v>
      </c>
      <c r="B76" s="158" t="s">
        <v>283</v>
      </c>
      <c r="C76" s="168">
        <f t="shared" si="4"/>
        <v>0</v>
      </c>
      <c r="D76" s="1043">
        <v>0</v>
      </c>
      <c r="E76" s="1044">
        <v>0</v>
      </c>
      <c r="F76" s="1045">
        <v>0</v>
      </c>
    </row>
    <row r="77" spans="1:6" s="178" customFormat="1" ht="12">
      <c r="A77" s="176" t="s">
        <v>102</v>
      </c>
      <c r="B77" s="177" t="s">
        <v>281</v>
      </c>
      <c r="C77" s="159">
        <f t="shared" si="4"/>
        <v>0</v>
      </c>
      <c r="D77" s="1046">
        <v>0</v>
      </c>
      <c r="E77" s="1047">
        <v>0</v>
      </c>
      <c r="F77" s="1048">
        <v>0</v>
      </c>
    </row>
    <row r="78" spans="1:6" s="178" customFormat="1" ht="12.75" thickBot="1">
      <c r="A78" s="179" t="s">
        <v>241</v>
      </c>
      <c r="B78" s="180" t="s">
        <v>282</v>
      </c>
      <c r="C78" s="181">
        <f t="shared" si="4"/>
        <v>0</v>
      </c>
      <c r="D78" s="1049">
        <v>0</v>
      </c>
      <c r="E78" s="1050">
        <v>0</v>
      </c>
      <c r="F78" s="1051">
        <v>0</v>
      </c>
    </row>
    <row r="79" spans="1:6" s="182" customFormat="1" ht="12.75" thickBot="1">
      <c r="A79" s="160" t="s">
        <v>73</v>
      </c>
      <c r="B79" s="161" t="s">
        <v>348</v>
      </c>
      <c r="C79" s="162">
        <f>+C80</f>
        <v>0</v>
      </c>
      <c r="D79" s="163">
        <f>+D80</f>
        <v>0</v>
      </c>
      <c r="E79" s="164">
        <f>+E80</f>
        <v>0</v>
      </c>
      <c r="F79" s="165">
        <f>+F80</f>
        <v>0</v>
      </c>
    </row>
    <row r="80" spans="1:6" s="182" customFormat="1" ht="12.75" thickBot="1">
      <c r="A80" s="160" t="s">
        <v>72</v>
      </c>
      <c r="B80" s="166" t="s">
        <v>349</v>
      </c>
      <c r="C80" s="162">
        <f>+C81+C90+C91</f>
        <v>0</v>
      </c>
      <c r="D80" s="163">
        <f>+D81+D90+D91</f>
        <v>0</v>
      </c>
      <c r="E80" s="164">
        <f>+E81+E90+E91</f>
        <v>0</v>
      </c>
      <c r="F80" s="165">
        <f>+F81+F90+F91</f>
        <v>0</v>
      </c>
    </row>
    <row r="81" spans="1:6" s="178" customFormat="1" ht="12">
      <c r="A81" s="169" t="s">
        <v>270</v>
      </c>
      <c r="B81" s="170" t="s">
        <v>350</v>
      </c>
      <c r="C81" s="171">
        <f>+C82+C83+C84+C85+C86+C87+C88+C89</f>
        <v>0</v>
      </c>
      <c r="D81" s="172">
        <f>+D82+D83+D84+D85+D86+D87+D88+D89</f>
        <v>0</v>
      </c>
      <c r="E81" s="173">
        <f>+E82+E83+E84+E85+E86+E87+E88+E89</f>
        <v>0</v>
      </c>
      <c r="F81" s="174">
        <f>+F82+F83+F84+F85+F86+F87+F88+F89</f>
        <v>0</v>
      </c>
    </row>
    <row r="82" spans="1:6" s="175" customFormat="1" ht="12">
      <c r="A82" s="157" t="s">
        <v>271</v>
      </c>
      <c r="B82" s="158" t="s">
        <v>284</v>
      </c>
      <c r="C82" s="168">
        <f aca="true" t="shared" si="5" ref="C82:C91">+D82+E82+F82</f>
        <v>0</v>
      </c>
      <c r="D82" s="1043">
        <v>0</v>
      </c>
      <c r="E82" s="1044">
        <v>0</v>
      </c>
      <c r="F82" s="1045">
        <v>0</v>
      </c>
    </row>
    <row r="83" spans="1:6" s="175" customFormat="1" ht="12">
      <c r="A83" s="157" t="s">
        <v>272</v>
      </c>
      <c r="B83" s="158" t="s">
        <v>285</v>
      </c>
      <c r="C83" s="168">
        <f t="shared" si="5"/>
        <v>0</v>
      </c>
      <c r="D83" s="1043">
        <v>0</v>
      </c>
      <c r="E83" s="1044">
        <v>0</v>
      </c>
      <c r="F83" s="1045">
        <v>0</v>
      </c>
    </row>
    <row r="84" spans="1:6" s="175" customFormat="1" ht="12">
      <c r="A84" s="157" t="s">
        <v>273</v>
      </c>
      <c r="B84" s="158" t="s">
        <v>286</v>
      </c>
      <c r="C84" s="168">
        <f t="shared" si="5"/>
        <v>0</v>
      </c>
      <c r="D84" s="1043">
        <v>0</v>
      </c>
      <c r="E84" s="1044">
        <v>0</v>
      </c>
      <c r="F84" s="1045">
        <v>0</v>
      </c>
    </row>
    <row r="85" spans="1:6" s="175" customFormat="1" ht="12">
      <c r="A85" s="157" t="s">
        <v>274</v>
      </c>
      <c r="B85" s="158" t="s">
        <v>287</v>
      </c>
      <c r="C85" s="168">
        <f t="shared" si="5"/>
        <v>0</v>
      </c>
      <c r="D85" s="1043">
        <v>0</v>
      </c>
      <c r="E85" s="1044">
        <v>0</v>
      </c>
      <c r="F85" s="1045">
        <v>0</v>
      </c>
    </row>
    <row r="86" spans="1:6" s="175" customFormat="1" ht="12">
      <c r="A86" s="157" t="s">
        <v>275</v>
      </c>
      <c r="B86" s="158" t="s">
        <v>288</v>
      </c>
      <c r="C86" s="168">
        <f t="shared" si="5"/>
        <v>0</v>
      </c>
      <c r="D86" s="1043">
        <v>0</v>
      </c>
      <c r="E86" s="1044">
        <v>0</v>
      </c>
      <c r="F86" s="1045">
        <v>0</v>
      </c>
    </row>
    <row r="87" spans="1:6" s="175" customFormat="1" ht="12">
      <c r="A87" s="157" t="s">
        <v>276</v>
      </c>
      <c r="B87" s="158" t="s">
        <v>289</v>
      </c>
      <c r="C87" s="168">
        <f t="shared" si="5"/>
        <v>0</v>
      </c>
      <c r="D87" s="1043">
        <v>0</v>
      </c>
      <c r="E87" s="1044">
        <v>0</v>
      </c>
      <c r="F87" s="1045">
        <v>0</v>
      </c>
    </row>
    <row r="88" spans="1:6" s="41" customFormat="1" ht="12">
      <c r="A88" s="130" t="s">
        <v>277</v>
      </c>
      <c r="B88" s="110" t="s">
        <v>290</v>
      </c>
      <c r="C88" s="51">
        <f t="shared" si="5"/>
        <v>0</v>
      </c>
      <c r="D88" s="47">
        <v>0</v>
      </c>
      <c r="E88" s="40">
        <v>0</v>
      </c>
      <c r="F88" s="43">
        <v>0</v>
      </c>
    </row>
    <row r="89" spans="1:6" s="41" customFormat="1" ht="12">
      <c r="A89" s="130" t="s">
        <v>278</v>
      </c>
      <c r="B89" s="110" t="s">
        <v>283</v>
      </c>
      <c r="C89" s="51">
        <f t="shared" si="5"/>
        <v>0</v>
      </c>
      <c r="D89" s="47">
        <v>0</v>
      </c>
      <c r="E89" s="40">
        <v>0</v>
      </c>
      <c r="F89" s="43">
        <v>0</v>
      </c>
    </row>
    <row r="90" spans="1:6" ht="12">
      <c r="A90" s="129" t="s">
        <v>279</v>
      </c>
      <c r="B90" s="111" t="s">
        <v>281</v>
      </c>
      <c r="C90" s="50">
        <f t="shared" si="5"/>
        <v>0</v>
      </c>
      <c r="D90" s="48">
        <v>0</v>
      </c>
      <c r="E90" s="39">
        <v>0</v>
      </c>
      <c r="F90" s="44">
        <v>0</v>
      </c>
    </row>
    <row r="91" spans="1:6" ht="12.75" thickBot="1">
      <c r="A91" s="122" t="s">
        <v>280</v>
      </c>
      <c r="B91" s="112" t="s">
        <v>282</v>
      </c>
      <c r="C91" s="53">
        <f t="shared" si="5"/>
        <v>0</v>
      </c>
      <c r="D91" s="54">
        <v>0</v>
      </c>
      <c r="E91" s="55">
        <v>0</v>
      </c>
      <c r="F91" s="56">
        <v>0</v>
      </c>
    </row>
    <row r="92" spans="1:6" s="29" customFormat="1" ht="12.75" thickBot="1">
      <c r="A92" s="127" t="s">
        <v>71</v>
      </c>
      <c r="B92" s="113" t="s">
        <v>351</v>
      </c>
      <c r="C92" s="71">
        <f>+C66+C79</f>
        <v>90036</v>
      </c>
      <c r="D92" s="60">
        <f>+D66+D79</f>
        <v>90036</v>
      </c>
      <c r="E92" s="61">
        <f>+E66+E79</f>
        <v>0</v>
      </c>
      <c r="F92" s="62">
        <f>+F66+F79</f>
        <v>0</v>
      </c>
    </row>
    <row r="93" spans="1:6" s="29" customFormat="1" ht="12.75" thickBot="1">
      <c r="A93" s="131" t="s">
        <v>68</v>
      </c>
      <c r="B93" s="115" t="s">
        <v>352</v>
      </c>
      <c r="C93" s="72">
        <f>+C65+C92</f>
        <v>1617951</v>
      </c>
      <c r="D93" s="57">
        <f>+D65+D92</f>
        <v>1607841</v>
      </c>
      <c r="E93" s="58">
        <f>+E65+E92</f>
        <v>10110</v>
      </c>
      <c r="F93" s="59">
        <f>+F65+F92</f>
        <v>0</v>
      </c>
    </row>
    <row r="94" spans="1:6" s="29" customFormat="1" ht="12">
      <c r="A94" s="93"/>
      <c r="B94" s="64"/>
      <c r="C94" s="64"/>
      <c r="D94" s="64"/>
      <c r="E94" s="64"/>
      <c r="F94" s="64"/>
    </row>
    <row r="95" spans="1:6" s="29" customFormat="1" ht="12">
      <c r="A95" s="93"/>
      <c r="B95" s="64"/>
      <c r="C95" s="64"/>
      <c r="D95" s="64"/>
      <c r="E95" s="64"/>
      <c r="F95" s="64"/>
    </row>
    <row r="96" spans="1:6" s="92" customFormat="1" ht="15.75">
      <c r="A96" s="1298" t="s">
        <v>108</v>
      </c>
      <c r="B96" s="1298"/>
      <c r="C96" s="1298"/>
      <c r="D96" s="1298"/>
      <c r="E96" s="1298"/>
      <c r="F96" s="1298"/>
    </row>
    <row r="97" spans="1:6" s="73" customFormat="1" ht="12.75" thickBot="1">
      <c r="A97" s="75" t="s">
        <v>317</v>
      </c>
      <c r="F97" s="74" t="s">
        <v>319</v>
      </c>
    </row>
    <row r="98" spans="1:6" s="29" customFormat="1" ht="48.75" thickBot="1">
      <c r="A98" s="123" t="s">
        <v>17</v>
      </c>
      <c r="B98" s="124" t="s">
        <v>379</v>
      </c>
      <c r="C98" s="76" t="s">
        <v>419</v>
      </c>
      <c r="D98" s="32" t="s">
        <v>79</v>
      </c>
      <c r="E98" s="33" t="s">
        <v>80</v>
      </c>
      <c r="F98" s="34" t="s">
        <v>81</v>
      </c>
    </row>
    <row r="99" spans="1:6" s="29" customFormat="1" ht="12.75" thickBot="1">
      <c r="A99" s="125" t="s">
        <v>291</v>
      </c>
      <c r="B99" s="126" t="s">
        <v>292</v>
      </c>
      <c r="C99" s="1303" t="s">
        <v>293</v>
      </c>
      <c r="D99" s="1304"/>
      <c r="E99" s="1304"/>
      <c r="F99" s="1305"/>
    </row>
    <row r="100" spans="1:6" s="29" customFormat="1" ht="12.75" thickBot="1">
      <c r="A100" s="127" t="s">
        <v>4</v>
      </c>
      <c r="B100" s="113" t="s">
        <v>353</v>
      </c>
      <c r="C100" s="71">
        <f>+C101+C105+C107+C114+C123</f>
        <v>847587</v>
      </c>
      <c r="D100" s="60">
        <f>+D101+D105+D107+D114+D123</f>
        <v>835877</v>
      </c>
      <c r="E100" s="61">
        <f>+E101+E105+E107+E114+E123</f>
        <v>11710</v>
      </c>
      <c r="F100" s="62">
        <f>+F101+F105+F107+F114+F123</f>
        <v>0</v>
      </c>
    </row>
    <row r="101" spans="1:6" s="29" customFormat="1" ht="12.75" thickBot="1">
      <c r="A101" s="127" t="s">
        <v>5</v>
      </c>
      <c r="B101" s="108" t="s">
        <v>354</v>
      </c>
      <c r="C101" s="71">
        <f>+C103+C104</f>
        <v>190568</v>
      </c>
      <c r="D101" s="60">
        <f>+D103+D104</f>
        <v>185664</v>
      </c>
      <c r="E101" s="61">
        <f>+E103+E104</f>
        <v>4904</v>
      </c>
      <c r="F101" s="62">
        <f>+F103+F104</f>
        <v>0</v>
      </c>
    </row>
    <row r="102" spans="1:6" s="73" customFormat="1" ht="12">
      <c r="A102" s="140" t="s">
        <v>406</v>
      </c>
      <c r="B102" s="141" t="s">
        <v>407</v>
      </c>
      <c r="C102" s="142">
        <f>+D102+E102+F102</f>
        <v>0</v>
      </c>
      <c r="D102" s="143">
        <v>0</v>
      </c>
      <c r="E102" s="144">
        <v>0</v>
      </c>
      <c r="F102" s="145">
        <v>0</v>
      </c>
    </row>
    <row r="103" spans="1:6" ht="12">
      <c r="A103" s="128" t="s">
        <v>82</v>
      </c>
      <c r="B103" s="109" t="s">
        <v>163</v>
      </c>
      <c r="C103" s="63">
        <f>+D103+E103+F103</f>
        <v>189249</v>
      </c>
      <c r="D103" s="68">
        <v>184345</v>
      </c>
      <c r="E103" s="38">
        <v>4904</v>
      </c>
      <c r="F103" s="69">
        <v>0</v>
      </c>
    </row>
    <row r="104" spans="1:6" ht="12.75" thickBot="1">
      <c r="A104" s="122" t="s">
        <v>83</v>
      </c>
      <c r="B104" s="112" t="s">
        <v>164</v>
      </c>
      <c r="C104" s="53">
        <f>+D104+E104+F104</f>
        <v>1319</v>
      </c>
      <c r="D104" s="54">
        <v>1319</v>
      </c>
      <c r="E104" s="55">
        <v>0</v>
      </c>
      <c r="F104" s="56">
        <v>0</v>
      </c>
    </row>
    <row r="105" spans="1:6" s="29" customFormat="1" ht="12.75" thickBot="1">
      <c r="A105" s="127" t="s">
        <v>6</v>
      </c>
      <c r="B105" s="108" t="s">
        <v>294</v>
      </c>
      <c r="C105" s="71">
        <f>+D105+E105+F105</f>
        <v>26519</v>
      </c>
      <c r="D105" s="60">
        <v>25244</v>
      </c>
      <c r="E105" s="61">
        <v>1275</v>
      </c>
      <c r="F105" s="62">
        <v>0</v>
      </c>
    </row>
    <row r="106" spans="1:6" s="73" customFormat="1" ht="12.75" thickBot="1">
      <c r="A106" s="140" t="s">
        <v>403</v>
      </c>
      <c r="B106" s="141" t="s">
        <v>404</v>
      </c>
      <c r="C106" s="142">
        <f>+D106+E106+F106</f>
        <v>0</v>
      </c>
      <c r="D106" s="143">
        <v>0</v>
      </c>
      <c r="E106" s="144">
        <v>0</v>
      </c>
      <c r="F106" s="145">
        <v>0</v>
      </c>
    </row>
    <row r="107" spans="1:6" s="29" customFormat="1" ht="12.75" thickBot="1">
      <c r="A107" s="127" t="s">
        <v>3</v>
      </c>
      <c r="B107" s="108" t="s">
        <v>400</v>
      </c>
      <c r="C107" s="71">
        <f>+C109+C110+C111+C112+C113</f>
        <v>271227</v>
      </c>
      <c r="D107" s="60">
        <f>+D109+D110+D111+D112+D113</f>
        <v>268446</v>
      </c>
      <c r="E107" s="61">
        <f>+E109+E110+E111+E112+E113</f>
        <v>2781</v>
      </c>
      <c r="F107" s="62">
        <f>+F109+F110+F111+F112+F113</f>
        <v>0</v>
      </c>
    </row>
    <row r="108" spans="1:6" s="73" customFormat="1" ht="12">
      <c r="A108" s="140" t="s">
        <v>398</v>
      </c>
      <c r="B108" s="141" t="s">
        <v>405</v>
      </c>
      <c r="C108" s="142">
        <f aca="true" t="shared" si="6" ref="C108:C113">+D108+E108+F108</f>
        <v>0</v>
      </c>
      <c r="D108" s="143">
        <v>0</v>
      </c>
      <c r="E108" s="144">
        <v>0</v>
      </c>
      <c r="F108" s="145">
        <v>0</v>
      </c>
    </row>
    <row r="109" spans="1:6" ht="12">
      <c r="A109" s="128" t="s">
        <v>89</v>
      </c>
      <c r="B109" s="109" t="s">
        <v>165</v>
      </c>
      <c r="C109" s="63">
        <f t="shared" si="6"/>
        <v>5131</v>
      </c>
      <c r="D109" s="68">
        <v>4989</v>
      </c>
      <c r="E109" s="38">
        <v>142</v>
      </c>
      <c r="F109" s="69">
        <v>0</v>
      </c>
    </row>
    <row r="110" spans="1:6" ht="12">
      <c r="A110" s="129" t="s">
        <v>90</v>
      </c>
      <c r="B110" s="111" t="s">
        <v>166</v>
      </c>
      <c r="C110" s="50">
        <f t="shared" si="6"/>
        <v>1595</v>
      </c>
      <c r="D110" s="48">
        <v>1496</v>
      </c>
      <c r="E110" s="39">
        <v>99</v>
      </c>
      <c r="F110" s="44">
        <v>0</v>
      </c>
    </row>
    <row r="111" spans="1:6" ht="12">
      <c r="A111" s="129" t="s">
        <v>91</v>
      </c>
      <c r="B111" s="111" t="s">
        <v>167</v>
      </c>
      <c r="C111" s="50">
        <f t="shared" si="6"/>
        <v>142395</v>
      </c>
      <c r="D111" s="48">
        <v>140913</v>
      </c>
      <c r="E111" s="39">
        <v>1482</v>
      </c>
      <c r="F111" s="44">
        <v>0</v>
      </c>
    </row>
    <row r="112" spans="1:6" ht="12">
      <c r="A112" s="129" t="s">
        <v>92</v>
      </c>
      <c r="B112" s="111" t="s">
        <v>168</v>
      </c>
      <c r="C112" s="50">
        <f t="shared" si="6"/>
        <v>1000</v>
      </c>
      <c r="D112" s="48">
        <v>400</v>
      </c>
      <c r="E112" s="39">
        <v>600</v>
      </c>
      <c r="F112" s="44">
        <v>0</v>
      </c>
    </row>
    <row r="113" spans="1:6" ht="12.75" thickBot="1">
      <c r="A113" s="122" t="s">
        <v>93</v>
      </c>
      <c r="B113" s="112" t="s">
        <v>169</v>
      </c>
      <c r="C113" s="53">
        <f t="shared" si="6"/>
        <v>121106</v>
      </c>
      <c r="D113" s="54">
        <v>120648</v>
      </c>
      <c r="E113" s="55">
        <v>458</v>
      </c>
      <c r="F113" s="56">
        <v>0</v>
      </c>
    </row>
    <row r="114" spans="1:6" s="29" customFormat="1" ht="12.75" thickBot="1">
      <c r="A114" s="127" t="s">
        <v>16</v>
      </c>
      <c r="B114" s="108" t="s">
        <v>355</v>
      </c>
      <c r="C114" s="71">
        <f>+C115+C116+C117+C118+C119+C120+C121+C122</f>
        <v>266825</v>
      </c>
      <c r="D114" s="60">
        <f>+D115+D116+D117+D118+D119+D120+D121+D122</f>
        <v>266825</v>
      </c>
      <c r="E114" s="61">
        <f>+E115+E116+E117+E118+E119+E120+E121+E122</f>
        <v>0</v>
      </c>
      <c r="F114" s="62">
        <f>+F115+F116+F117+F118+F119+F120+F121+F122</f>
        <v>0</v>
      </c>
    </row>
    <row r="115" spans="1:6" ht="12">
      <c r="A115" s="128" t="s">
        <v>265</v>
      </c>
      <c r="B115" s="109" t="s">
        <v>170</v>
      </c>
      <c r="C115" s="63">
        <f aca="true" t="shared" si="7" ref="C115:C122">+D115+E115+F115</f>
        <v>0</v>
      </c>
      <c r="D115" s="68">
        <v>0</v>
      </c>
      <c r="E115" s="38">
        <v>0</v>
      </c>
      <c r="F115" s="69">
        <v>0</v>
      </c>
    </row>
    <row r="116" spans="1:6" ht="12">
      <c r="A116" s="129" t="s">
        <v>266</v>
      </c>
      <c r="B116" s="111" t="s">
        <v>171</v>
      </c>
      <c r="C116" s="50">
        <f t="shared" si="7"/>
        <v>2225</v>
      </c>
      <c r="D116" s="48">
        <v>2225</v>
      </c>
      <c r="E116" s="39">
        <v>0</v>
      </c>
      <c r="F116" s="44">
        <v>0</v>
      </c>
    </row>
    <row r="117" spans="1:6" ht="12">
      <c r="A117" s="129" t="s">
        <v>267</v>
      </c>
      <c r="B117" s="111" t="s">
        <v>172</v>
      </c>
      <c r="C117" s="50">
        <f t="shared" si="7"/>
        <v>0</v>
      </c>
      <c r="D117" s="48">
        <v>0</v>
      </c>
      <c r="E117" s="39">
        <v>0</v>
      </c>
      <c r="F117" s="44">
        <v>0</v>
      </c>
    </row>
    <row r="118" spans="1:6" ht="12">
      <c r="A118" s="129" t="s">
        <v>295</v>
      </c>
      <c r="B118" s="111" t="s">
        <v>173</v>
      </c>
      <c r="C118" s="50">
        <f t="shared" si="7"/>
        <v>3600</v>
      </c>
      <c r="D118" s="48">
        <v>3600</v>
      </c>
      <c r="E118" s="39">
        <v>0</v>
      </c>
      <c r="F118" s="44">
        <v>0</v>
      </c>
    </row>
    <row r="119" spans="1:6" ht="12">
      <c r="A119" s="129" t="s">
        <v>296</v>
      </c>
      <c r="B119" s="111" t="s">
        <v>174</v>
      </c>
      <c r="C119" s="50">
        <f t="shared" si="7"/>
        <v>180000</v>
      </c>
      <c r="D119" s="48">
        <v>180000</v>
      </c>
      <c r="E119" s="39">
        <v>0</v>
      </c>
      <c r="F119" s="44">
        <v>0</v>
      </c>
    </row>
    <row r="120" spans="1:6" ht="12">
      <c r="A120" s="129" t="s">
        <v>297</v>
      </c>
      <c r="B120" s="111" t="s">
        <v>175</v>
      </c>
      <c r="C120" s="50">
        <f t="shared" si="7"/>
        <v>43000</v>
      </c>
      <c r="D120" s="48">
        <v>43000</v>
      </c>
      <c r="E120" s="39">
        <v>0</v>
      </c>
      <c r="F120" s="44">
        <v>0</v>
      </c>
    </row>
    <row r="121" spans="1:6" ht="12">
      <c r="A121" s="129" t="s">
        <v>298</v>
      </c>
      <c r="B121" s="111" t="s">
        <v>176</v>
      </c>
      <c r="C121" s="50">
        <f t="shared" si="7"/>
        <v>0</v>
      </c>
      <c r="D121" s="48">
        <v>0</v>
      </c>
      <c r="E121" s="39">
        <v>0</v>
      </c>
      <c r="F121" s="44">
        <v>0</v>
      </c>
    </row>
    <row r="122" spans="1:6" ht="12.75" thickBot="1">
      <c r="A122" s="122" t="s">
        <v>299</v>
      </c>
      <c r="B122" s="112" t="s">
        <v>177</v>
      </c>
      <c r="C122" s="53">
        <f t="shared" si="7"/>
        <v>38000</v>
      </c>
      <c r="D122" s="54">
        <v>38000</v>
      </c>
      <c r="E122" s="55">
        <v>0</v>
      </c>
      <c r="F122" s="56">
        <v>0</v>
      </c>
    </row>
    <row r="123" spans="1:6" s="29" customFormat="1" ht="12.75" thickBot="1">
      <c r="A123" s="127" t="s">
        <v>15</v>
      </c>
      <c r="B123" s="108" t="s">
        <v>356</v>
      </c>
      <c r="C123" s="71">
        <f>+C124+C125+C126+C127+C128+C129+C131+C132+C133+C134+C135+C136</f>
        <v>92448</v>
      </c>
      <c r="D123" s="60">
        <f>+D124+D125+D126+D127+D128+D129+D131+D132+D133+D134+D135+D136</f>
        <v>89698</v>
      </c>
      <c r="E123" s="61">
        <f>+E124+E125+E126+E127+E128+E129+E131+E132+E133+E134+E135+E136</f>
        <v>2750</v>
      </c>
      <c r="F123" s="62">
        <f>+F124+F125+F126+F127+F128+F129+F131+F132+F133+F134+F135+F136</f>
        <v>0</v>
      </c>
    </row>
    <row r="124" spans="1:6" ht="12">
      <c r="A124" s="128" t="s">
        <v>115</v>
      </c>
      <c r="B124" s="109" t="s">
        <v>178</v>
      </c>
      <c r="C124" s="63">
        <f aca="true" t="shared" si="8" ref="C124:C135">+D124+E124+F124</f>
        <v>0</v>
      </c>
      <c r="D124" s="68">
        <v>0</v>
      </c>
      <c r="E124" s="38">
        <v>0</v>
      </c>
      <c r="F124" s="69">
        <v>0</v>
      </c>
    </row>
    <row r="125" spans="1:6" ht="12">
      <c r="A125" s="129" t="s">
        <v>116</v>
      </c>
      <c r="B125" s="111" t="s">
        <v>179</v>
      </c>
      <c r="C125" s="50">
        <f t="shared" si="8"/>
        <v>0</v>
      </c>
      <c r="D125" s="48">
        <v>0</v>
      </c>
      <c r="E125" s="39">
        <v>0</v>
      </c>
      <c r="F125" s="44">
        <v>0</v>
      </c>
    </row>
    <row r="126" spans="1:6" ht="12">
      <c r="A126" s="129" t="s">
        <v>220</v>
      </c>
      <c r="B126" s="111" t="s">
        <v>180</v>
      </c>
      <c r="C126" s="50">
        <f t="shared" si="8"/>
        <v>0</v>
      </c>
      <c r="D126" s="48">
        <v>0</v>
      </c>
      <c r="E126" s="39">
        <v>0</v>
      </c>
      <c r="F126" s="44">
        <v>0</v>
      </c>
    </row>
    <row r="127" spans="1:6" ht="12">
      <c r="A127" s="129" t="s">
        <v>221</v>
      </c>
      <c r="B127" s="111" t="s">
        <v>181</v>
      </c>
      <c r="C127" s="50">
        <f t="shared" si="8"/>
        <v>0</v>
      </c>
      <c r="D127" s="48">
        <v>0</v>
      </c>
      <c r="E127" s="39">
        <v>0</v>
      </c>
      <c r="F127" s="44">
        <v>0</v>
      </c>
    </row>
    <row r="128" spans="1:6" ht="12">
      <c r="A128" s="129" t="s">
        <v>222</v>
      </c>
      <c r="B128" s="111" t="s">
        <v>182</v>
      </c>
      <c r="C128" s="50">
        <f t="shared" si="8"/>
        <v>0</v>
      </c>
      <c r="D128" s="48">
        <v>0</v>
      </c>
      <c r="E128" s="39">
        <v>0</v>
      </c>
      <c r="F128" s="44">
        <v>0</v>
      </c>
    </row>
    <row r="129" spans="1:6" ht="12">
      <c r="A129" s="129" t="s">
        <v>300</v>
      </c>
      <c r="B129" s="111" t="s">
        <v>183</v>
      </c>
      <c r="C129" s="50">
        <f t="shared" si="8"/>
        <v>11926</v>
      </c>
      <c r="D129" s="48">
        <v>11926</v>
      </c>
      <c r="E129" s="39">
        <v>0</v>
      </c>
      <c r="F129" s="44">
        <v>0</v>
      </c>
    </row>
    <row r="130" spans="1:6" s="41" customFormat="1" ht="12">
      <c r="A130" s="133" t="s">
        <v>392</v>
      </c>
      <c r="B130" s="106" t="s">
        <v>393</v>
      </c>
      <c r="C130" s="85">
        <f t="shared" si="8"/>
        <v>0</v>
      </c>
      <c r="D130" s="83">
        <v>0</v>
      </c>
      <c r="E130" s="81">
        <v>0</v>
      </c>
      <c r="F130" s="82">
        <v>0</v>
      </c>
    </row>
    <row r="131" spans="1:6" ht="12">
      <c r="A131" s="129" t="s">
        <v>301</v>
      </c>
      <c r="B131" s="111" t="s">
        <v>184</v>
      </c>
      <c r="C131" s="50">
        <f t="shared" si="8"/>
        <v>0</v>
      </c>
      <c r="D131" s="48">
        <v>0</v>
      </c>
      <c r="E131" s="39">
        <v>0</v>
      </c>
      <c r="F131" s="44">
        <v>0</v>
      </c>
    </row>
    <row r="132" spans="1:6" ht="12">
      <c r="A132" s="129" t="s">
        <v>302</v>
      </c>
      <c r="B132" s="111" t="s">
        <v>185</v>
      </c>
      <c r="C132" s="50">
        <f t="shared" si="8"/>
        <v>30615</v>
      </c>
      <c r="D132" s="48">
        <v>30615</v>
      </c>
      <c r="E132" s="39">
        <v>0</v>
      </c>
      <c r="F132" s="44">
        <v>0</v>
      </c>
    </row>
    <row r="133" spans="1:6" ht="12">
      <c r="A133" s="129" t="s">
        <v>303</v>
      </c>
      <c r="B133" s="111" t="s">
        <v>186</v>
      </c>
      <c r="C133" s="50">
        <f t="shared" si="8"/>
        <v>0</v>
      </c>
      <c r="D133" s="48">
        <v>0</v>
      </c>
      <c r="E133" s="39">
        <v>0</v>
      </c>
      <c r="F133" s="44">
        <v>0</v>
      </c>
    </row>
    <row r="134" spans="1:6" ht="12">
      <c r="A134" s="129" t="s">
        <v>304</v>
      </c>
      <c r="B134" s="111" t="s">
        <v>187</v>
      </c>
      <c r="C134" s="50">
        <f t="shared" si="8"/>
        <v>0</v>
      </c>
      <c r="D134" s="48">
        <v>0</v>
      </c>
      <c r="E134" s="39">
        <v>0</v>
      </c>
      <c r="F134" s="44">
        <v>0</v>
      </c>
    </row>
    <row r="135" spans="1:6" ht="12">
      <c r="A135" s="129" t="s">
        <v>305</v>
      </c>
      <c r="B135" s="111" t="s">
        <v>188</v>
      </c>
      <c r="C135" s="50">
        <f t="shared" si="8"/>
        <v>6850</v>
      </c>
      <c r="D135" s="48">
        <v>4100</v>
      </c>
      <c r="E135" s="39">
        <v>2750</v>
      </c>
      <c r="F135" s="44">
        <v>0</v>
      </c>
    </row>
    <row r="136" spans="1:6" ht="12">
      <c r="A136" s="122" t="s">
        <v>306</v>
      </c>
      <c r="B136" s="112" t="s">
        <v>390</v>
      </c>
      <c r="C136" s="53">
        <f>+C137+C138</f>
        <v>43057</v>
      </c>
      <c r="D136" s="54">
        <f>+D137+D138</f>
        <v>43057</v>
      </c>
      <c r="E136" s="55">
        <f>+E137+E138</f>
        <v>0</v>
      </c>
      <c r="F136" s="56">
        <f>+F137+F138</f>
        <v>0</v>
      </c>
    </row>
    <row r="137" spans="1:6" s="41" customFormat="1" ht="12">
      <c r="A137" s="133" t="s">
        <v>387</v>
      </c>
      <c r="B137" s="118" t="s">
        <v>389</v>
      </c>
      <c r="C137" s="85">
        <f>+D137+E137+F137</f>
        <v>16000</v>
      </c>
      <c r="D137" s="83">
        <v>16000</v>
      </c>
      <c r="E137" s="81">
        <v>0</v>
      </c>
      <c r="F137" s="82">
        <v>0</v>
      </c>
    </row>
    <row r="138" spans="1:6" s="41" customFormat="1" ht="12.75" thickBot="1">
      <c r="A138" s="133" t="s">
        <v>388</v>
      </c>
      <c r="B138" s="118" t="s">
        <v>397</v>
      </c>
      <c r="C138" s="85">
        <f>+D138+E138+F138</f>
        <v>27057</v>
      </c>
      <c r="D138" s="83">
        <v>27057</v>
      </c>
      <c r="E138" s="81">
        <v>0</v>
      </c>
      <c r="F138" s="82">
        <v>0</v>
      </c>
    </row>
    <row r="139" spans="1:6" s="29" customFormat="1" ht="12.75" thickBot="1">
      <c r="A139" s="127" t="s">
        <v>14</v>
      </c>
      <c r="B139" s="113" t="s">
        <v>357</v>
      </c>
      <c r="C139" s="71">
        <f>+C140+C149+C155</f>
        <v>72779</v>
      </c>
      <c r="D139" s="60">
        <f>+D140+D149+D155</f>
        <v>72779</v>
      </c>
      <c r="E139" s="61">
        <f>+E140+E149+E155</f>
        <v>0</v>
      </c>
      <c r="F139" s="62">
        <f>+F140+F149+F155</f>
        <v>0</v>
      </c>
    </row>
    <row r="140" spans="1:6" s="29" customFormat="1" ht="12.75" thickBot="1">
      <c r="A140" s="127" t="s">
        <v>13</v>
      </c>
      <c r="B140" s="108" t="s">
        <v>358</v>
      </c>
      <c r="C140" s="71">
        <f>+C142+C143+C144+C145+C146+C147+C148</f>
        <v>72779</v>
      </c>
      <c r="D140" s="60">
        <f>+D142+D143+D144+D145+D146+D147+D148</f>
        <v>72779</v>
      </c>
      <c r="E140" s="61">
        <f>+E142+E143+E144+E145+E146+E147+E148</f>
        <v>0</v>
      </c>
      <c r="F140" s="62">
        <f>+F142+F143+F144+F145+F146+F147+F148</f>
        <v>0</v>
      </c>
    </row>
    <row r="141" spans="1:6" s="73" customFormat="1" ht="12">
      <c r="A141" s="140" t="s">
        <v>398</v>
      </c>
      <c r="B141" s="141" t="s">
        <v>399</v>
      </c>
      <c r="C141" s="142">
        <f aca="true" t="shared" si="9" ref="C141:C148">+D141+E141+F141</f>
        <v>64039</v>
      </c>
      <c r="D141" s="143">
        <v>64039</v>
      </c>
      <c r="E141" s="144">
        <v>0</v>
      </c>
      <c r="F141" s="145">
        <v>0</v>
      </c>
    </row>
    <row r="142" spans="1:6" ht="12">
      <c r="A142" s="128" t="s">
        <v>94</v>
      </c>
      <c r="B142" s="109" t="s">
        <v>189</v>
      </c>
      <c r="C142" s="63">
        <f t="shared" si="9"/>
        <v>0</v>
      </c>
      <c r="D142" s="68">
        <v>0</v>
      </c>
      <c r="E142" s="38">
        <v>0</v>
      </c>
      <c r="F142" s="69">
        <v>0</v>
      </c>
    </row>
    <row r="143" spans="1:6" ht="12">
      <c r="A143" s="129" t="s">
        <v>95</v>
      </c>
      <c r="B143" s="111" t="s">
        <v>190</v>
      </c>
      <c r="C143" s="50">
        <f t="shared" si="9"/>
        <v>65039</v>
      </c>
      <c r="D143" s="48">
        <v>65039</v>
      </c>
      <c r="E143" s="39">
        <v>0</v>
      </c>
      <c r="F143" s="44">
        <v>0</v>
      </c>
    </row>
    <row r="144" spans="1:6" ht="12">
      <c r="A144" s="129" t="s">
        <v>96</v>
      </c>
      <c r="B144" s="111" t="s">
        <v>191</v>
      </c>
      <c r="C144" s="50">
        <f t="shared" si="9"/>
        <v>0</v>
      </c>
      <c r="D144" s="48">
        <v>0</v>
      </c>
      <c r="E144" s="39">
        <v>0</v>
      </c>
      <c r="F144" s="44">
        <v>0</v>
      </c>
    </row>
    <row r="145" spans="1:6" ht="12">
      <c r="A145" s="129" t="s">
        <v>268</v>
      </c>
      <c r="B145" s="111" t="s">
        <v>192</v>
      </c>
      <c r="C145" s="50">
        <f t="shared" si="9"/>
        <v>5881</v>
      </c>
      <c r="D145" s="48">
        <v>5881</v>
      </c>
      <c r="E145" s="39">
        <v>0</v>
      </c>
      <c r="F145" s="44">
        <v>0</v>
      </c>
    </row>
    <row r="146" spans="1:6" ht="12">
      <c r="A146" s="129" t="s">
        <v>269</v>
      </c>
      <c r="B146" s="111" t="s">
        <v>193</v>
      </c>
      <c r="C146" s="50">
        <f t="shared" si="9"/>
        <v>0</v>
      </c>
      <c r="D146" s="48">
        <v>0</v>
      </c>
      <c r="E146" s="39">
        <v>0</v>
      </c>
      <c r="F146" s="44">
        <v>0</v>
      </c>
    </row>
    <row r="147" spans="1:6" ht="12">
      <c r="A147" s="129" t="s">
        <v>307</v>
      </c>
      <c r="B147" s="111" t="s">
        <v>194</v>
      </c>
      <c r="C147" s="50">
        <f t="shared" si="9"/>
        <v>0</v>
      </c>
      <c r="D147" s="48">
        <v>0</v>
      </c>
      <c r="E147" s="39">
        <v>0</v>
      </c>
      <c r="F147" s="44">
        <v>0</v>
      </c>
    </row>
    <row r="148" spans="1:6" ht="12.75" thickBot="1">
      <c r="A148" s="122" t="s">
        <v>308</v>
      </c>
      <c r="B148" s="112" t="s">
        <v>195</v>
      </c>
      <c r="C148" s="53">
        <f t="shared" si="9"/>
        <v>1859</v>
      </c>
      <c r="D148" s="54">
        <v>1859</v>
      </c>
      <c r="E148" s="55">
        <v>0</v>
      </c>
      <c r="F148" s="56">
        <v>0</v>
      </c>
    </row>
    <row r="149" spans="1:6" s="29" customFormat="1" ht="12.75" thickBot="1">
      <c r="A149" s="127" t="s">
        <v>12</v>
      </c>
      <c r="B149" s="108" t="s">
        <v>359</v>
      </c>
      <c r="C149" s="71">
        <f>+C151+C152+C153+C154</f>
        <v>0</v>
      </c>
      <c r="D149" s="60">
        <f>+D151+D152+D153+D154</f>
        <v>0</v>
      </c>
      <c r="E149" s="61">
        <f>+E151+E152+E153+E154</f>
        <v>0</v>
      </c>
      <c r="F149" s="62">
        <f>+F151+F152+F153+F154</f>
        <v>0</v>
      </c>
    </row>
    <row r="150" spans="1:6" s="73" customFormat="1" ht="12">
      <c r="A150" s="140" t="s">
        <v>401</v>
      </c>
      <c r="B150" s="141" t="s">
        <v>402</v>
      </c>
      <c r="C150" s="142">
        <f>+D150+E150+F150</f>
        <v>0</v>
      </c>
      <c r="D150" s="143">
        <v>0</v>
      </c>
      <c r="E150" s="144">
        <v>0</v>
      </c>
      <c r="F150" s="145">
        <v>0</v>
      </c>
    </row>
    <row r="151" spans="1:6" ht="12">
      <c r="A151" s="128" t="s">
        <v>97</v>
      </c>
      <c r="B151" s="109" t="s">
        <v>196</v>
      </c>
      <c r="C151" s="63">
        <f>+D151+E151+F151</f>
        <v>0</v>
      </c>
      <c r="D151" s="68">
        <v>0</v>
      </c>
      <c r="E151" s="38">
        <v>0</v>
      </c>
      <c r="F151" s="69">
        <v>0</v>
      </c>
    </row>
    <row r="152" spans="1:6" ht="12">
      <c r="A152" s="129" t="s">
        <v>98</v>
      </c>
      <c r="B152" s="111" t="s">
        <v>197</v>
      </c>
      <c r="C152" s="50">
        <f>+D152+E152+F152</f>
        <v>0</v>
      </c>
      <c r="D152" s="48">
        <v>0</v>
      </c>
      <c r="E152" s="39">
        <v>0</v>
      </c>
      <c r="F152" s="44">
        <v>0</v>
      </c>
    </row>
    <row r="153" spans="1:6" ht="12">
      <c r="A153" s="129" t="s">
        <v>99</v>
      </c>
      <c r="B153" s="111" t="s">
        <v>198</v>
      </c>
      <c r="C153" s="50">
        <f>+D153+E153+F153</f>
        <v>0</v>
      </c>
      <c r="D153" s="48">
        <v>0</v>
      </c>
      <c r="E153" s="39">
        <v>0</v>
      </c>
      <c r="F153" s="44">
        <v>0</v>
      </c>
    </row>
    <row r="154" spans="1:6" ht="12.75" thickBot="1">
      <c r="A154" s="122" t="s">
        <v>100</v>
      </c>
      <c r="B154" s="112" t="s">
        <v>199</v>
      </c>
      <c r="C154" s="53">
        <f>+D154+E154+F154</f>
        <v>0</v>
      </c>
      <c r="D154" s="54">
        <v>0</v>
      </c>
      <c r="E154" s="55">
        <v>0</v>
      </c>
      <c r="F154" s="56">
        <v>0</v>
      </c>
    </row>
    <row r="155" spans="1:6" s="29" customFormat="1" ht="12.75" thickBot="1">
      <c r="A155" s="127" t="s">
        <v>11</v>
      </c>
      <c r="B155" s="108" t="s">
        <v>360</v>
      </c>
      <c r="C155" s="71">
        <f>+C156+C157+C158+C159+C161+C162+C163+C164</f>
        <v>0</v>
      </c>
      <c r="D155" s="60">
        <f>+D156+D157+D158+D159+D161+D162+D163+D164</f>
        <v>0</v>
      </c>
      <c r="E155" s="61">
        <f>+E156+E157+E158+E159+E161+E162+E163+E164</f>
        <v>0</v>
      </c>
      <c r="F155" s="62">
        <f>+F156+F157+F158+F159+F161+F162+F163+F164</f>
        <v>0</v>
      </c>
    </row>
    <row r="156" spans="1:6" ht="12">
      <c r="A156" s="128" t="s">
        <v>309</v>
      </c>
      <c r="B156" s="109" t="s">
        <v>200</v>
      </c>
      <c r="C156" s="63">
        <f aca="true" t="shared" si="10" ref="C156:C164">+D156+E156+F156</f>
        <v>0</v>
      </c>
      <c r="D156" s="68">
        <v>0</v>
      </c>
      <c r="E156" s="38">
        <v>0</v>
      </c>
      <c r="F156" s="69">
        <v>0</v>
      </c>
    </row>
    <row r="157" spans="1:6" ht="12">
      <c r="A157" s="129" t="s">
        <v>310</v>
      </c>
      <c r="B157" s="111" t="s">
        <v>201</v>
      </c>
      <c r="C157" s="50">
        <f t="shared" si="10"/>
        <v>0</v>
      </c>
      <c r="D157" s="48">
        <v>0</v>
      </c>
      <c r="E157" s="39">
        <v>0</v>
      </c>
      <c r="F157" s="44">
        <v>0</v>
      </c>
    </row>
    <row r="158" spans="1:6" ht="12">
      <c r="A158" s="129" t="s">
        <v>311</v>
      </c>
      <c r="B158" s="111" t="s">
        <v>202</v>
      </c>
      <c r="C158" s="50">
        <f t="shared" si="10"/>
        <v>0</v>
      </c>
      <c r="D158" s="48">
        <v>0</v>
      </c>
      <c r="E158" s="39">
        <v>0</v>
      </c>
      <c r="F158" s="44">
        <v>0</v>
      </c>
    </row>
    <row r="159" spans="1:6" ht="12">
      <c r="A159" s="129" t="s">
        <v>312</v>
      </c>
      <c r="B159" s="111" t="s">
        <v>203</v>
      </c>
      <c r="C159" s="50">
        <f t="shared" si="10"/>
        <v>0</v>
      </c>
      <c r="D159" s="48">
        <v>0</v>
      </c>
      <c r="E159" s="39">
        <v>0</v>
      </c>
      <c r="F159" s="44">
        <v>0</v>
      </c>
    </row>
    <row r="160" spans="1:6" s="41" customFormat="1" ht="12">
      <c r="A160" s="133" t="s">
        <v>395</v>
      </c>
      <c r="B160" s="106" t="s">
        <v>396</v>
      </c>
      <c r="C160" s="85">
        <f t="shared" si="10"/>
        <v>0</v>
      </c>
      <c r="D160" s="83">
        <v>0</v>
      </c>
      <c r="E160" s="81">
        <v>0</v>
      </c>
      <c r="F160" s="82">
        <v>0</v>
      </c>
    </row>
    <row r="161" spans="1:6" ht="12">
      <c r="A161" s="129" t="s">
        <v>313</v>
      </c>
      <c r="B161" s="111" t="s">
        <v>204</v>
      </c>
      <c r="C161" s="50">
        <f t="shared" si="10"/>
        <v>0</v>
      </c>
      <c r="D161" s="48">
        <v>0</v>
      </c>
      <c r="E161" s="39">
        <v>0</v>
      </c>
      <c r="F161" s="44">
        <v>0</v>
      </c>
    </row>
    <row r="162" spans="1:6" ht="12">
      <c r="A162" s="129" t="s">
        <v>314</v>
      </c>
      <c r="B162" s="111" t="s">
        <v>205</v>
      </c>
      <c r="C162" s="50">
        <f t="shared" si="10"/>
        <v>0</v>
      </c>
      <c r="D162" s="48">
        <v>0</v>
      </c>
      <c r="E162" s="39">
        <v>0</v>
      </c>
      <c r="F162" s="44">
        <v>0</v>
      </c>
    </row>
    <row r="163" spans="1:6" ht="12">
      <c r="A163" s="129" t="s">
        <v>315</v>
      </c>
      <c r="B163" s="111" t="s">
        <v>206</v>
      </c>
      <c r="C163" s="50">
        <f t="shared" si="10"/>
        <v>0</v>
      </c>
      <c r="D163" s="48">
        <v>0</v>
      </c>
      <c r="E163" s="39">
        <v>0</v>
      </c>
      <c r="F163" s="44">
        <v>0</v>
      </c>
    </row>
    <row r="164" spans="1:6" ht="12.75" thickBot="1">
      <c r="A164" s="122" t="s">
        <v>316</v>
      </c>
      <c r="B164" s="112" t="s">
        <v>207</v>
      </c>
      <c r="C164" s="53">
        <f t="shared" si="10"/>
        <v>0</v>
      </c>
      <c r="D164" s="54">
        <v>0</v>
      </c>
      <c r="E164" s="55">
        <v>0</v>
      </c>
      <c r="F164" s="56">
        <v>0</v>
      </c>
    </row>
    <row r="165" spans="1:6" s="29" customFormat="1" ht="12.75" thickBot="1">
      <c r="A165" s="127" t="s">
        <v>10</v>
      </c>
      <c r="B165" s="113" t="s">
        <v>361</v>
      </c>
      <c r="C165" s="71">
        <f>+C100+C139</f>
        <v>920366</v>
      </c>
      <c r="D165" s="60">
        <f>+D100+D139</f>
        <v>908656</v>
      </c>
      <c r="E165" s="61">
        <f>+E100+E139</f>
        <v>11710</v>
      </c>
      <c r="F165" s="62">
        <f>+F100+F139</f>
        <v>0</v>
      </c>
    </row>
    <row r="166" spans="1:6" s="29" customFormat="1" ht="12.75" thickBot="1">
      <c r="A166" s="127" t="s">
        <v>9</v>
      </c>
      <c r="B166" s="114" t="s">
        <v>362</v>
      </c>
      <c r="C166" s="71">
        <f>+C167</f>
        <v>658585</v>
      </c>
      <c r="D166" s="60">
        <f>+D167</f>
        <v>658585</v>
      </c>
      <c r="E166" s="61">
        <f>+E167</f>
        <v>0</v>
      </c>
      <c r="F166" s="62">
        <f>+F167</f>
        <v>0</v>
      </c>
    </row>
    <row r="167" spans="1:6" s="29" customFormat="1" ht="12.75" thickBot="1">
      <c r="A167" s="127" t="s">
        <v>73</v>
      </c>
      <c r="B167" s="108" t="s">
        <v>363</v>
      </c>
      <c r="C167" s="71">
        <f>+C168+C177+C178</f>
        <v>658585</v>
      </c>
      <c r="D167" s="60">
        <f>+D168+D177+D178</f>
        <v>658585</v>
      </c>
      <c r="E167" s="61">
        <f>+E168+E177+E178</f>
        <v>0</v>
      </c>
      <c r="F167" s="62">
        <f>+F168+F177+F178</f>
        <v>0</v>
      </c>
    </row>
    <row r="168" spans="1:6" ht="12">
      <c r="A168" s="128" t="s">
        <v>103</v>
      </c>
      <c r="B168" s="109" t="s">
        <v>447</v>
      </c>
      <c r="C168" s="63">
        <f>+C169+C170+C171+C172+C173+C174+C175+C176</f>
        <v>658585</v>
      </c>
      <c r="D168" s="68">
        <f>+D169+D170+D171+D172+D173+D174+D175+D176</f>
        <v>658585</v>
      </c>
      <c r="E168" s="38">
        <f>+E169+E170+E171+E172+E173+E174+E175+E176</f>
        <v>0</v>
      </c>
      <c r="F168" s="69">
        <f>+F169+F170+F171+F172+F173+F174+F175+F176</f>
        <v>0</v>
      </c>
    </row>
    <row r="169" spans="1:6" s="41" customFormat="1" ht="12">
      <c r="A169" s="130" t="s">
        <v>243</v>
      </c>
      <c r="B169" s="110" t="s">
        <v>208</v>
      </c>
      <c r="C169" s="51">
        <f aca="true" t="shared" si="11" ref="C169:C178">+D169+E169+F169</f>
        <v>0</v>
      </c>
      <c r="D169" s="47">
        <v>0</v>
      </c>
      <c r="E169" s="40">
        <v>0</v>
      </c>
      <c r="F169" s="43">
        <v>0</v>
      </c>
    </row>
    <row r="170" spans="1:6" s="41" customFormat="1" ht="12">
      <c r="A170" s="130" t="s">
        <v>244</v>
      </c>
      <c r="B170" s="110" t="s">
        <v>209</v>
      </c>
      <c r="C170" s="51">
        <f t="shared" si="11"/>
        <v>0</v>
      </c>
      <c r="D170" s="47">
        <v>0</v>
      </c>
      <c r="E170" s="40">
        <v>0</v>
      </c>
      <c r="F170" s="43">
        <v>0</v>
      </c>
    </row>
    <row r="171" spans="1:6" s="41" customFormat="1" ht="12">
      <c r="A171" s="130" t="s">
        <v>245</v>
      </c>
      <c r="B171" s="110" t="s">
        <v>210</v>
      </c>
      <c r="C171" s="51">
        <f t="shared" si="11"/>
        <v>0</v>
      </c>
      <c r="D171" s="47">
        <v>0</v>
      </c>
      <c r="E171" s="40">
        <v>0</v>
      </c>
      <c r="F171" s="43">
        <v>0</v>
      </c>
    </row>
    <row r="172" spans="1:6" s="41" customFormat="1" ht="12">
      <c r="A172" s="130" t="s">
        <v>246</v>
      </c>
      <c r="B172" s="110" t="s">
        <v>211</v>
      </c>
      <c r="C172" s="51">
        <f t="shared" si="11"/>
        <v>0</v>
      </c>
      <c r="D172" s="47">
        <v>0</v>
      </c>
      <c r="E172" s="40">
        <v>0</v>
      </c>
      <c r="F172" s="43">
        <v>0</v>
      </c>
    </row>
    <row r="173" spans="1:6" s="41" customFormat="1" ht="12">
      <c r="A173" s="130" t="s">
        <v>247</v>
      </c>
      <c r="B173" s="110" t="s">
        <v>212</v>
      </c>
      <c r="C173" s="51">
        <f t="shared" si="11"/>
        <v>658585</v>
      </c>
      <c r="D173" s="47">
        <v>658585</v>
      </c>
      <c r="E173" s="40">
        <v>0</v>
      </c>
      <c r="F173" s="43">
        <v>0</v>
      </c>
    </row>
    <row r="174" spans="1:6" s="41" customFormat="1" ht="12">
      <c r="A174" s="130" t="s">
        <v>248</v>
      </c>
      <c r="B174" s="110" t="s">
        <v>217</v>
      </c>
      <c r="C174" s="51">
        <f t="shared" si="11"/>
        <v>0</v>
      </c>
      <c r="D174" s="47">
        <v>0</v>
      </c>
      <c r="E174" s="40">
        <v>0</v>
      </c>
      <c r="F174" s="43">
        <v>0</v>
      </c>
    </row>
    <row r="175" spans="1:6" s="41" customFormat="1" ht="12">
      <c r="A175" s="130" t="s">
        <v>249</v>
      </c>
      <c r="B175" s="110" t="s">
        <v>213</v>
      </c>
      <c r="C175" s="51">
        <f t="shared" si="11"/>
        <v>0</v>
      </c>
      <c r="D175" s="47">
        <v>0</v>
      </c>
      <c r="E175" s="40">
        <v>0</v>
      </c>
      <c r="F175" s="43">
        <v>0</v>
      </c>
    </row>
    <row r="176" spans="1:6" s="41" customFormat="1" ht="12">
      <c r="A176" s="130" t="s">
        <v>250</v>
      </c>
      <c r="B176" s="110" t="s">
        <v>214</v>
      </c>
      <c r="C176" s="51">
        <f t="shared" si="11"/>
        <v>0</v>
      </c>
      <c r="D176" s="47">
        <v>0</v>
      </c>
      <c r="E176" s="40">
        <v>0</v>
      </c>
      <c r="F176" s="43">
        <v>0</v>
      </c>
    </row>
    <row r="177" spans="1:6" ht="12">
      <c r="A177" s="129" t="s">
        <v>104</v>
      </c>
      <c r="B177" s="111" t="s">
        <v>215</v>
      </c>
      <c r="C177" s="50">
        <f t="shared" si="11"/>
        <v>0</v>
      </c>
      <c r="D177" s="48">
        <v>0</v>
      </c>
      <c r="E177" s="39">
        <v>0</v>
      </c>
      <c r="F177" s="44">
        <v>0</v>
      </c>
    </row>
    <row r="178" spans="1:6" ht="12.75" thickBot="1">
      <c r="A178" s="122" t="s">
        <v>105</v>
      </c>
      <c r="B178" s="112" t="s">
        <v>216</v>
      </c>
      <c r="C178" s="53">
        <f t="shared" si="11"/>
        <v>0</v>
      </c>
      <c r="D178" s="54">
        <v>0</v>
      </c>
      <c r="E178" s="55">
        <v>0</v>
      </c>
      <c r="F178" s="56">
        <v>0</v>
      </c>
    </row>
    <row r="179" spans="1:6" s="29" customFormat="1" ht="12.75" thickBot="1">
      <c r="A179" s="127" t="s">
        <v>72</v>
      </c>
      <c r="B179" s="113" t="s">
        <v>364</v>
      </c>
      <c r="C179" s="71">
        <f>+C180</f>
        <v>39000</v>
      </c>
      <c r="D179" s="60">
        <f>+D180</f>
        <v>39000</v>
      </c>
      <c r="E179" s="61">
        <f>+E180</f>
        <v>0</v>
      </c>
      <c r="F179" s="62">
        <f>+F180</f>
        <v>0</v>
      </c>
    </row>
    <row r="180" spans="1:6" s="29" customFormat="1" ht="12.75" thickBot="1">
      <c r="A180" s="127" t="s">
        <v>71</v>
      </c>
      <c r="B180" s="108" t="s">
        <v>365</v>
      </c>
      <c r="C180" s="71">
        <f>+C181+C190+C191</f>
        <v>39000</v>
      </c>
      <c r="D180" s="60">
        <f>+D181+D190+D191</f>
        <v>39000</v>
      </c>
      <c r="E180" s="61">
        <f>+E181+E190+E191</f>
        <v>0</v>
      </c>
      <c r="F180" s="62">
        <f>+F181+F190+F191</f>
        <v>0</v>
      </c>
    </row>
    <row r="181" spans="1:6" ht="12">
      <c r="A181" s="128" t="s">
        <v>106</v>
      </c>
      <c r="B181" s="109" t="s">
        <v>366</v>
      </c>
      <c r="C181" s="63">
        <f>+C182+C183+C184+C185+C186+C187+C188+C189</f>
        <v>39000</v>
      </c>
      <c r="D181" s="68">
        <f>+D182+D183+D184+D185+D186+D187+D188+D189</f>
        <v>39000</v>
      </c>
      <c r="E181" s="38">
        <f>+E182+E183+E184+E185+E186+E187+E188+E189</f>
        <v>0</v>
      </c>
      <c r="F181" s="69">
        <f>+F182+F183+F184+F185+F186+F187+F188+F189</f>
        <v>0</v>
      </c>
    </row>
    <row r="182" spans="1:6" s="41" customFormat="1" ht="12">
      <c r="A182" s="130" t="s">
        <v>251</v>
      </c>
      <c r="B182" s="110" t="s">
        <v>208</v>
      </c>
      <c r="C182" s="51">
        <f aca="true" t="shared" si="12" ref="C182:C191">+D182+E182+F182</f>
        <v>0</v>
      </c>
      <c r="D182" s="47">
        <v>0</v>
      </c>
      <c r="E182" s="40">
        <v>0</v>
      </c>
      <c r="F182" s="43">
        <v>0</v>
      </c>
    </row>
    <row r="183" spans="1:6" s="41" customFormat="1" ht="12">
      <c r="A183" s="130" t="s">
        <v>252</v>
      </c>
      <c r="B183" s="110" t="s">
        <v>209</v>
      </c>
      <c r="C183" s="51">
        <f t="shared" si="12"/>
        <v>0</v>
      </c>
      <c r="D183" s="47">
        <v>0</v>
      </c>
      <c r="E183" s="40">
        <v>0</v>
      </c>
      <c r="F183" s="43">
        <v>0</v>
      </c>
    </row>
    <row r="184" spans="1:6" s="41" customFormat="1" ht="12">
      <c r="A184" s="130" t="s">
        <v>253</v>
      </c>
      <c r="B184" s="110" t="s">
        <v>210</v>
      </c>
      <c r="C184" s="51">
        <f t="shared" si="12"/>
        <v>0</v>
      </c>
      <c r="D184" s="47">
        <v>0</v>
      </c>
      <c r="E184" s="40">
        <v>0</v>
      </c>
      <c r="F184" s="43">
        <v>0</v>
      </c>
    </row>
    <row r="185" spans="1:6" s="41" customFormat="1" ht="12">
      <c r="A185" s="130" t="s">
        <v>254</v>
      </c>
      <c r="B185" s="110" t="s">
        <v>211</v>
      </c>
      <c r="C185" s="51">
        <f t="shared" si="12"/>
        <v>0</v>
      </c>
      <c r="D185" s="47">
        <v>0</v>
      </c>
      <c r="E185" s="40">
        <v>0</v>
      </c>
      <c r="F185" s="43">
        <v>0</v>
      </c>
    </row>
    <row r="186" spans="1:6" s="41" customFormat="1" ht="12">
      <c r="A186" s="130" t="s">
        <v>255</v>
      </c>
      <c r="B186" s="110" t="s">
        <v>212</v>
      </c>
      <c r="C186" s="51">
        <f t="shared" si="12"/>
        <v>39000</v>
      </c>
      <c r="D186" s="47">
        <v>39000</v>
      </c>
      <c r="E186" s="40">
        <v>0</v>
      </c>
      <c r="F186" s="43">
        <v>0</v>
      </c>
    </row>
    <row r="187" spans="1:6" s="41" customFormat="1" ht="12">
      <c r="A187" s="130" t="s">
        <v>256</v>
      </c>
      <c r="B187" s="110" t="s">
        <v>217</v>
      </c>
      <c r="C187" s="51">
        <f t="shared" si="12"/>
        <v>0</v>
      </c>
      <c r="D187" s="47">
        <v>0</v>
      </c>
      <c r="E187" s="40">
        <v>0</v>
      </c>
      <c r="F187" s="43">
        <v>0</v>
      </c>
    </row>
    <row r="188" spans="1:6" s="41" customFormat="1" ht="12">
      <c r="A188" s="130" t="s">
        <v>257</v>
      </c>
      <c r="B188" s="110" t="s">
        <v>213</v>
      </c>
      <c r="C188" s="51">
        <f t="shared" si="12"/>
        <v>0</v>
      </c>
      <c r="D188" s="47">
        <v>0</v>
      </c>
      <c r="E188" s="40">
        <v>0</v>
      </c>
      <c r="F188" s="43">
        <v>0</v>
      </c>
    </row>
    <row r="189" spans="1:6" s="41" customFormat="1" ht="12">
      <c r="A189" s="130" t="s">
        <v>258</v>
      </c>
      <c r="B189" s="110" t="s">
        <v>214</v>
      </c>
      <c r="C189" s="51">
        <f t="shared" si="12"/>
        <v>0</v>
      </c>
      <c r="D189" s="47">
        <v>0</v>
      </c>
      <c r="E189" s="40">
        <v>0</v>
      </c>
      <c r="F189" s="43">
        <v>0</v>
      </c>
    </row>
    <row r="190" spans="1:6" ht="12">
      <c r="A190" s="129" t="s">
        <v>107</v>
      </c>
      <c r="B190" s="111" t="s">
        <v>215</v>
      </c>
      <c r="C190" s="50">
        <f t="shared" si="12"/>
        <v>0</v>
      </c>
      <c r="D190" s="48">
        <v>0</v>
      </c>
      <c r="E190" s="39">
        <v>0</v>
      </c>
      <c r="F190" s="44">
        <v>0</v>
      </c>
    </row>
    <row r="191" spans="1:6" ht="12.75" thickBot="1">
      <c r="A191" s="122" t="s">
        <v>259</v>
      </c>
      <c r="B191" s="112" t="s">
        <v>216</v>
      </c>
      <c r="C191" s="53">
        <f t="shared" si="12"/>
        <v>0</v>
      </c>
      <c r="D191" s="54">
        <v>0</v>
      </c>
      <c r="E191" s="55">
        <v>0</v>
      </c>
      <c r="F191" s="56">
        <v>0</v>
      </c>
    </row>
    <row r="192" spans="1:6" s="29" customFormat="1" ht="12.75" thickBot="1">
      <c r="A192" s="127" t="s">
        <v>68</v>
      </c>
      <c r="B192" s="113" t="s">
        <v>367</v>
      </c>
      <c r="C192" s="71">
        <f>+C166+C179</f>
        <v>697585</v>
      </c>
      <c r="D192" s="60">
        <f>+D166+D179</f>
        <v>697585</v>
      </c>
      <c r="E192" s="61">
        <f>+E166+E179</f>
        <v>0</v>
      </c>
      <c r="F192" s="62">
        <f>+F166+F179</f>
        <v>0</v>
      </c>
    </row>
    <row r="193" spans="1:6" s="29" customFormat="1" ht="12.75" thickBot="1">
      <c r="A193" s="131" t="s">
        <v>67</v>
      </c>
      <c r="B193" s="115" t="s">
        <v>391</v>
      </c>
      <c r="C193" s="72">
        <f>+C165+C192</f>
        <v>1617951</v>
      </c>
      <c r="D193" s="57">
        <f>+D165+D192</f>
        <v>1606241</v>
      </c>
      <c r="E193" s="58">
        <f>+E165+E192</f>
        <v>11710</v>
      </c>
      <c r="F193" s="59">
        <f>+F165+F192</f>
        <v>0</v>
      </c>
    </row>
    <row r="196" spans="1:30" s="24" customFormat="1" ht="15.75">
      <c r="A196" s="1299" t="s">
        <v>117</v>
      </c>
      <c r="B196" s="1299"/>
      <c r="C196" s="1299"/>
      <c r="D196" s="1299"/>
      <c r="E196" s="1299"/>
      <c r="F196" s="1299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</row>
    <row r="197" spans="1:6" s="73" customFormat="1" ht="12.75" thickBot="1">
      <c r="A197" s="75" t="s">
        <v>320</v>
      </c>
      <c r="F197" s="74" t="s">
        <v>319</v>
      </c>
    </row>
    <row r="198" spans="1:6" s="29" customFormat="1" ht="12.75" thickBot="1">
      <c r="A198" s="127" t="s">
        <v>4</v>
      </c>
      <c r="B198" s="113" t="s">
        <v>368</v>
      </c>
      <c r="C198" s="71">
        <f>+C199+C200</f>
        <v>607549</v>
      </c>
      <c r="D198" s="60">
        <f>+D199+D200</f>
        <v>609149</v>
      </c>
      <c r="E198" s="61">
        <f>+E199+E200</f>
        <v>-1600</v>
      </c>
      <c r="F198" s="62">
        <f>+F199+F200</f>
        <v>0</v>
      </c>
    </row>
    <row r="199" spans="1:6" ht="12">
      <c r="A199" s="128" t="s">
        <v>109</v>
      </c>
      <c r="B199" s="116" t="s">
        <v>369</v>
      </c>
      <c r="C199" s="63">
        <f>+C10-C100</f>
        <v>653972</v>
      </c>
      <c r="D199" s="68">
        <f>+D10-D100</f>
        <v>658572</v>
      </c>
      <c r="E199" s="38">
        <f>+E10-E100</f>
        <v>-4600</v>
      </c>
      <c r="F199" s="69">
        <f>+F10-F100</f>
        <v>0</v>
      </c>
    </row>
    <row r="200" spans="1:6" ht="12.75" thickBot="1">
      <c r="A200" s="132" t="s">
        <v>110</v>
      </c>
      <c r="B200" s="117" t="s">
        <v>370</v>
      </c>
      <c r="C200" s="52">
        <f>+C47-C139</f>
        <v>-46423</v>
      </c>
      <c r="D200" s="78">
        <f>+D47-D139</f>
        <v>-49423</v>
      </c>
      <c r="E200" s="45">
        <f>+E47-E139</f>
        <v>3000</v>
      </c>
      <c r="F200" s="77">
        <f>+F47-F139</f>
        <v>0</v>
      </c>
    </row>
    <row r="203" spans="1:30" s="24" customFormat="1" ht="15.75">
      <c r="A203" s="1299" t="s">
        <v>118</v>
      </c>
      <c r="B203" s="1299"/>
      <c r="C203" s="1299"/>
      <c r="D203" s="1299"/>
      <c r="E203" s="1299"/>
      <c r="F203" s="1299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</row>
    <row r="204" spans="1:6" s="73" customFormat="1" ht="12.75" thickBot="1">
      <c r="A204" s="75" t="s">
        <v>321</v>
      </c>
      <c r="F204" s="74" t="s">
        <v>319</v>
      </c>
    </row>
    <row r="205" spans="1:6" s="29" customFormat="1" ht="12.75" thickBot="1">
      <c r="A205" s="127" t="s">
        <v>4</v>
      </c>
      <c r="B205" s="113" t="s">
        <v>371</v>
      </c>
      <c r="C205" s="71">
        <f>+C206+C213</f>
        <v>-607549</v>
      </c>
      <c r="D205" s="60">
        <f>+D206+D213</f>
        <v>-607549</v>
      </c>
      <c r="E205" s="61">
        <f>+E206+E213</f>
        <v>0</v>
      </c>
      <c r="F205" s="62">
        <f>+F206+F213</f>
        <v>0</v>
      </c>
    </row>
    <row r="206" spans="1:6" s="29" customFormat="1" ht="12.75" thickBot="1">
      <c r="A206" s="127" t="s">
        <v>5</v>
      </c>
      <c r="B206" s="108" t="s">
        <v>372</v>
      </c>
      <c r="C206" s="71">
        <f>+C207-C210</f>
        <v>-568549</v>
      </c>
      <c r="D206" s="60">
        <f>+D207-D210</f>
        <v>-568549</v>
      </c>
      <c r="E206" s="61">
        <f>+E207-E210</f>
        <v>0</v>
      </c>
      <c r="F206" s="62">
        <f>+F207-F210</f>
        <v>0</v>
      </c>
    </row>
    <row r="207" spans="1:6" ht="12">
      <c r="A207" s="128" t="s">
        <v>82</v>
      </c>
      <c r="B207" s="109" t="s">
        <v>373</v>
      </c>
      <c r="C207" s="63">
        <f>+C208+C209</f>
        <v>90036</v>
      </c>
      <c r="D207" s="68">
        <f>+D208+D209</f>
        <v>90036</v>
      </c>
      <c r="E207" s="38">
        <f>+E208+E209</f>
        <v>0</v>
      </c>
      <c r="F207" s="69">
        <f>+F208+F209</f>
        <v>0</v>
      </c>
    </row>
    <row r="208" spans="1:6" s="41" customFormat="1" ht="12">
      <c r="A208" s="130" t="s">
        <v>228</v>
      </c>
      <c r="B208" s="110" t="s">
        <v>323</v>
      </c>
      <c r="C208" s="51">
        <f>+C71+C75</f>
        <v>90036</v>
      </c>
      <c r="D208" s="47">
        <f>+D71+D75</f>
        <v>90036</v>
      </c>
      <c r="E208" s="40">
        <f>+E71+E75</f>
        <v>0</v>
      </c>
      <c r="F208" s="43">
        <f>+F71+F75</f>
        <v>0</v>
      </c>
    </row>
    <row r="209" spans="1:6" s="41" customFormat="1" ht="12">
      <c r="A209" s="130" t="s">
        <v>229</v>
      </c>
      <c r="B209" s="110" t="s">
        <v>324</v>
      </c>
      <c r="C209" s="51">
        <f>+C69+C70+C72+C73+C74+C76</f>
        <v>0</v>
      </c>
      <c r="D209" s="47">
        <f>+D69+D70+D72+D73+D74+D76</f>
        <v>0</v>
      </c>
      <c r="E209" s="40">
        <f>+E69+E70+E72+E73+E74+E76</f>
        <v>0</v>
      </c>
      <c r="F209" s="43">
        <f>+F69+F70+F72+F73+F74+F76</f>
        <v>0</v>
      </c>
    </row>
    <row r="210" spans="1:6" ht="12">
      <c r="A210" s="129" t="s">
        <v>83</v>
      </c>
      <c r="B210" s="111" t="s">
        <v>374</v>
      </c>
      <c r="C210" s="50">
        <f>+C212</f>
        <v>658585</v>
      </c>
      <c r="D210" s="48">
        <f>+D212</f>
        <v>658585</v>
      </c>
      <c r="E210" s="39">
        <f>+E212</f>
        <v>0</v>
      </c>
      <c r="F210" s="44">
        <f>+F212</f>
        <v>0</v>
      </c>
    </row>
    <row r="211" spans="1:6" s="41" customFormat="1" ht="12">
      <c r="A211" s="130" t="s">
        <v>84</v>
      </c>
      <c r="B211" s="110" t="s">
        <v>325</v>
      </c>
      <c r="C211" s="51">
        <f>+C174</f>
        <v>0</v>
      </c>
      <c r="D211" s="47">
        <f>+D174</f>
        <v>0</v>
      </c>
      <c r="E211" s="40">
        <f>+E174</f>
        <v>0</v>
      </c>
      <c r="F211" s="43">
        <f>+F174</f>
        <v>0</v>
      </c>
    </row>
    <row r="212" spans="1:6" s="41" customFormat="1" ht="12.75" thickBot="1">
      <c r="A212" s="133" t="s">
        <v>85</v>
      </c>
      <c r="B212" s="118" t="s">
        <v>326</v>
      </c>
      <c r="C212" s="85">
        <f>+C169+C170+C171+C172+C173+C175+C176</f>
        <v>658585</v>
      </c>
      <c r="D212" s="83">
        <f>+D169+D170+D171+D172+D173+D175+D176</f>
        <v>658585</v>
      </c>
      <c r="E212" s="81">
        <f>+E169+E170+E171+E172+E173+E175+E176</f>
        <v>0</v>
      </c>
      <c r="F212" s="82">
        <f>+F169+F170+F171+F172+F173+F175+F176</f>
        <v>0</v>
      </c>
    </row>
    <row r="213" spans="1:6" s="29" customFormat="1" ht="12.75" thickBot="1">
      <c r="A213" s="127" t="s">
        <v>6</v>
      </c>
      <c r="B213" s="108" t="s">
        <v>375</v>
      </c>
      <c r="C213" s="71">
        <f>+C214-C217</f>
        <v>-39000</v>
      </c>
      <c r="D213" s="60">
        <f>+D214-D217</f>
        <v>-39000</v>
      </c>
      <c r="E213" s="61">
        <f>+E214-E217</f>
        <v>0</v>
      </c>
      <c r="F213" s="62">
        <f>+F214-F217</f>
        <v>0</v>
      </c>
    </row>
    <row r="214" spans="1:6" ht="12">
      <c r="A214" s="128" t="s">
        <v>86</v>
      </c>
      <c r="B214" s="109" t="s">
        <v>376</v>
      </c>
      <c r="C214" s="63">
        <f>+C215+C216</f>
        <v>0</v>
      </c>
      <c r="D214" s="68">
        <f>+D215+D216</f>
        <v>0</v>
      </c>
      <c r="E214" s="38">
        <f>+E215+E216</f>
        <v>0</v>
      </c>
      <c r="F214" s="69">
        <f>+F215+F216</f>
        <v>0</v>
      </c>
    </row>
    <row r="215" spans="1:6" s="41" customFormat="1" ht="12">
      <c r="A215" s="130" t="s">
        <v>331</v>
      </c>
      <c r="B215" s="110" t="s">
        <v>329</v>
      </c>
      <c r="C215" s="51">
        <f>+C84+C88</f>
        <v>0</v>
      </c>
      <c r="D215" s="47">
        <f>+D84+D88</f>
        <v>0</v>
      </c>
      <c r="E215" s="40">
        <f>+E84+E88</f>
        <v>0</v>
      </c>
      <c r="F215" s="43">
        <f>+F84+F88</f>
        <v>0</v>
      </c>
    </row>
    <row r="216" spans="1:6" s="41" customFormat="1" ht="12">
      <c r="A216" s="130" t="s">
        <v>332</v>
      </c>
      <c r="B216" s="110" t="s">
        <v>330</v>
      </c>
      <c r="C216" s="51">
        <f>+C82+C83+C85+C86+C87+C89</f>
        <v>0</v>
      </c>
      <c r="D216" s="47">
        <f>+D82+D83+D85+D86+D87+D89</f>
        <v>0</v>
      </c>
      <c r="E216" s="40">
        <f>+E82+E83+E85+E86+E87+E89</f>
        <v>0</v>
      </c>
      <c r="F216" s="43">
        <f>+F82+F83+F85+F86+F87+F89</f>
        <v>0</v>
      </c>
    </row>
    <row r="217" spans="1:6" ht="12">
      <c r="A217" s="129" t="s">
        <v>87</v>
      </c>
      <c r="B217" s="111" t="s">
        <v>377</v>
      </c>
      <c r="C217" s="50">
        <f>+C218+C219</f>
        <v>39000</v>
      </c>
      <c r="D217" s="48">
        <f>+D218+D219</f>
        <v>39000</v>
      </c>
      <c r="E217" s="39">
        <f>+E218+E219</f>
        <v>0</v>
      </c>
      <c r="F217" s="44">
        <f>+F218+F219</f>
        <v>0</v>
      </c>
    </row>
    <row r="218" spans="1:6" s="41" customFormat="1" ht="12">
      <c r="A218" s="130" t="s">
        <v>333</v>
      </c>
      <c r="B218" s="110" t="s">
        <v>327</v>
      </c>
      <c r="C218" s="51">
        <f>+C187</f>
        <v>0</v>
      </c>
      <c r="D218" s="47">
        <f>+D187</f>
        <v>0</v>
      </c>
      <c r="E218" s="40">
        <f>+E187</f>
        <v>0</v>
      </c>
      <c r="F218" s="43">
        <f>+F187</f>
        <v>0</v>
      </c>
    </row>
    <row r="219" spans="1:6" s="41" customFormat="1" ht="12.75" thickBot="1">
      <c r="A219" s="134" t="s">
        <v>334</v>
      </c>
      <c r="B219" s="119" t="s">
        <v>328</v>
      </c>
      <c r="C219" s="86">
        <f>+C182+C183+C184+C185+C186+C188+C189</f>
        <v>39000</v>
      </c>
      <c r="D219" s="84">
        <f>+D182+D183+D184+D185+D186+D188+D189</f>
        <v>39000</v>
      </c>
      <c r="E219" s="79">
        <f>+E182+E183+E184+E185+E186+E188+E189</f>
        <v>0</v>
      </c>
      <c r="F219" s="80">
        <f>+F182+F183+F184+F185+F186+F188+F189</f>
        <v>0</v>
      </c>
    </row>
    <row r="222" spans="1:30" s="24" customFormat="1" ht="15.75">
      <c r="A222" s="1299" t="s">
        <v>383</v>
      </c>
      <c r="B222" s="1299"/>
      <c r="C222" s="1299"/>
      <c r="D222" s="1299"/>
      <c r="E222" s="1299"/>
      <c r="F222" s="1299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</row>
    <row r="223" spans="1:6" s="73" customFormat="1" ht="12.75" thickBot="1">
      <c r="A223" s="75" t="s">
        <v>322</v>
      </c>
      <c r="F223" s="74"/>
    </row>
    <row r="224" spans="1:6" s="29" customFormat="1" ht="12">
      <c r="A224" s="135" t="s">
        <v>4</v>
      </c>
      <c r="B224" s="120" t="s">
        <v>119</v>
      </c>
      <c r="C224" s="94">
        <f>+D224+E224+F224</f>
        <v>3</v>
      </c>
      <c r="D224" s="95">
        <v>0</v>
      </c>
      <c r="E224" s="96">
        <v>3</v>
      </c>
      <c r="F224" s="97">
        <v>0</v>
      </c>
    </row>
    <row r="225" spans="1:6" s="41" customFormat="1" ht="12">
      <c r="A225" s="133" t="s">
        <v>408</v>
      </c>
      <c r="B225" s="146" t="s">
        <v>409</v>
      </c>
      <c r="C225" s="147">
        <f>+D225+E225+F225</f>
        <v>0</v>
      </c>
      <c r="D225" s="148">
        <v>0</v>
      </c>
      <c r="E225" s="149">
        <v>0</v>
      </c>
      <c r="F225" s="150">
        <v>0</v>
      </c>
    </row>
    <row r="226" spans="1:6" s="29" customFormat="1" ht="12.75" thickBot="1">
      <c r="A226" s="136" t="s">
        <v>5</v>
      </c>
      <c r="B226" s="121" t="s">
        <v>120</v>
      </c>
      <c r="C226" s="98">
        <f>+D226+E226+F226</f>
        <v>471</v>
      </c>
      <c r="D226" s="99">
        <v>471</v>
      </c>
      <c r="E226" s="100">
        <v>0</v>
      </c>
      <c r="F226" s="101">
        <v>0</v>
      </c>
    </row>
    <row r="227" spans="1:6" s="29" customFormat="1" ht="12.75" thickBot="1">
      <c r="A227" s="127" t="s">
        <v>6</v>
      </c>
      <c r="B227" s="113" t="s">
        <v>380</v>
      </c>
      <c r="C227" s="102">
        <f>+C224+C226</f>
        <v>474</v>
      </c>
      <c r="D227" s="103">
        <f>+D224+D226</f>
        <v>471</v>
      </c>
      <c r="E227" s="104">
        <f>+E224+E226</f>
        <v>3</v>
      </c>
      <c r="F227" s="105">
        <f>+F224+F226</f>
        <v>0</v>
      </c>
    </row>
  </sheetData>
  <sheetProtection/>
  <mergeCells count="9">
    <mergeCell ref="A196:F196"/>
    <mergeCell ref="A203:F203"/>
    <mergeCell ref="A222:F222"/>
    <mergeCell ref="A3:F3"/>
    <mergeCell ref="A4:F4"/>
    <mergeCell ref="A6:F6"/>
    <mergeCell ref="C9:F9"/>
    <mergeCell ref="A96:F96"/>
    <mergeCell ref="C99:F9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5" r:id="rId1"/>
  <headerFooter>
    <oddHeader>&amp;C 1.1. melléklet - &amp;P. oldal</oddHeader>
  </headerFooter>
  <rowBreaks count="1" manualBreakCount="1">
    <brk id="95" max="5" man="1"/>
  </rowBreaks>
  <colBreaks count="1" manualBreakCount="1">
    <brk id="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AD227"/>
  <sheetViews>
    <sheetView zoomScale="80" zoomScaleNormal="80" zoomScalePageLayoutView="0" workbookViewId="0" topLeftCell="A1">
      <selection activeCell="F1" sqref="F1"/>
    </sheetView>
  </sheetViews>
  <sheetFormatPr defaultColWidth="9.00390625" defaultRowHeight="12.75"/>
  <cols>
    <col min="1" max="1" width="6.625" style="30" customWidth="1"/>
    <col min="2" max="2" width="109.625" style="30" bestFit="1" customWidth="1"/>
    <col min="3" max="16384" width="9.125" style="30" customWidth="1"/>
  </cols>
  <sheetData>
    <row r="1" s="90" customFormat="1" ht="15.75">
      <c r="F1" s="91" t="s">
        <v>1403</v>
      </c>
    </row>
    <row r="2" s="90" customFormat="1" ht="15.75"/>
    <row r="3" spans="1:6" s="92" customFormat="1" ht="15.75">
      <c r="A3" s="1298" t="s">
        <v>413</v>
      </c>
      <c r="B3" s="1298"/>
      <c r="C3" s="1298"/>
      <c r="D3" s="1298"/>
      <c r="E3" s="1298"/>
      <c r="F3" s="1298"/>
    </row>
    <row r="4" spans="1:6" s="92" customFormat="1" ht="15.75">
      <c r="A4" s="1298" t="s">
        <v>412</v>
      </c>
      <c r="B4" s="1298"/>
      <c r="C4" s="1298"/>
      <c r="D4" s="1298"/>
      <c r="E4" s="1298"/>
      <c r="F4" s="1298"/>
    </row>
    <row r="5" s="90" customFormat="1" ht="15.75"/>
    <row r="6" spans="1:6" s="92" customFormat="1" ht="15.75">
      <c r="A6" s="1298" t="s">
        <v>76</v>
      </c>
      <c r="B6" s="1298"/>
      <c r="C6" s="1298"/>
      <c r="D6" s="1298"/>
      <c r="E6" s="1298"/>
      <c r="F6" s="1298"/>
    </row>
    <row r="7" spans="1:6" s="73" customFormat="1" ht="12.75" thickBot="1">
      <c r="A7" s="75" t="s">
        <v>318</v>
      </c>
      <c r="F7" s="74" t="s">
        <v>319</v>
      </c>
    </row>
    <row r="8" spans="1:6" s="35" customFormat="1" ht="54" customHeight="1" thickBot="1">
      <c r="A8" s="123" t="s">
        <v>17</v>
      </c>
      <c r="B8" s="137" t="s">
        <v>378</v>
      </c>
      <c r="C8" s="31" t="s">
        <v>419</v>
      </c>
      <c r="D8" s="32" t="s">
        <v>79</v>
      </c>
      <c r="E8" s="33" t="s">
        <v>80</v>
      </c>
      <c r="F8" s="34" t="s">
        <v>81</v>
      </c>
    </row>
    <row r="9" spans="1:6" s="29" customFormat="1" ht="12.75" thickBot="1">
      <c r="A9" s="127" t="s">
        <v>291</v>
      </c>
      <c r="B9" s="138" t="s">
        <v>292</v>
      </c>
      <c r="C9" s="1300" t="s">
        <v>293</v>
      </c>
      <c r="D9" s="1301"/>
      <c r="E9" s="1301"/>
      <c r="F9" s="1302"/>
    </row>
    <row r="10" spans="1:6" s="29" customFormat="1" ht="12.75" thickBot="1">
      <c r="A10" s="139" t="s">
        <v>4</v>
      </c>
      <c r="B10" s="107" t="s">
        <v>335</v>
      </c>
      <c r="C10" s="70">
        <f>+C11+C25+C32+C43</f>
        <v>35703</v>
      </c>
      <c r="D10" s="65">
        <f>+D11+D25+D32+D43</f>
        <v>11449</v>
      </c>
      <c r="E10" s="66">
        <f>+E11+E25+E32+E43</f>
        <v>24254</v>
      </c>
      <c r="F10" s="67">
        <f>+F11+F25+F32+F43</f>
        <v>0</v>
      </c>
    </row>
    <row r="11" spans="1:6" s="29" customFormat="1" ht="12.75" customHeight="1" thickBot="1">
      <c r="A11" s="127" t="s">
        <v>5</v>
      </c>
      <c r="B11" s="108" t="s">
        <v>336</v>
      </c>
      <c r="C11" s="71">
        <f>+C12+C19+C20+C21+C22+C23</f>
        <v>0</v>
      </c>
      <c r="D11" s="60">
        <f>+D12+D19+D20+D21+D22+D23</f>
        <v>0</v>
      </c>
      <c r="E11" s="61">
        <f>+E12+E19+E20+E21+E22+E23</f>
        <v>0</v>
      </c>
      <c r="F11" s="62">
        <f>+F12+F19+F20+F21+F22+F23</f>
        <v>0</v>
      </c>
    </row>
    <row r="12" spans="1:6" s="29" customFormat="1" ht="12">
      <c r="A12" s="128" t="s">
        <v>82</v>
      </c>
      <c r="B12" s="109" t="s">
        <v>337</v>
      </c>
      <c r="C12" s="63">
        <f>+C13+C14+C15+C16+C17+C18</f>
        <v>0</v>
      </c>
      <c r="D12" s="46">
        <f>+D13+D14+D15+D16+D17+D18</f>
        <v>0</v>
      </c>
      <c r="E12" s="37">
        <f>+E13+E14+E15+E16+E17+E18</f>
        <v>0</v>
      </c>
      <c r="F12" s="42">
        <f>+F13+F14+F15+F16+F17+F18</f>
        <v>0</v>
      </c>
    </row>
    <row r="13" spans="1:6" s="41" customFormat="1" ht="12">
      <c r="A13" s="130" t="s">
        <v>228</v>
      </c>
      <c r="B13" s="110" t="s">
        <v>121</v>
      </c>
      <c r="C13" s="51">
        <f>+D13+E13+F13</f>
        <v>0</v>
      </c>
      <c r="D13" s="47">
        <v>0</v>
      </c>
      <c r="E13" s="40">
        <v>0</v>
      </c>
      <c r="F13" s="43">
        <v>0</v>
      </c>
    </row>
    <row r="14" spans="1:6" s="41" customFormat="1" ht="12">
      <c r="A14" s="130" t="s">
        <v>229</v>
      </c>
      <c r="B14" s="110" t="s">
        <v>122</v>
      </c>
      <c r="C14" s="51">
        <f aca="true" t="shared" si="0" ref="C14:C24">+D14+E14+F14</f>
        <v>0</v>
      </c>
      <c r="D14" s="47">
        <v>0</v>
      </c>
      <c r="E14" s="40">
        <v>0</v>
      </c>
      <c r="F14" s="43">
        <v>0</v>
      </c>
    </row>
    <row r="15" spans="1:6" s="41" customFormat="1" ht="12">
      <c r="A15" s="130" t="s">
        <v>230</v>
      </c>
      <c r="B15" s="110" t="s">
        <v>123</v>
      </c>
      <c r="C15" s="51">
        <f t="shared" si="0"/>
        <v>0</v>
      </c>
      <c r="D15" s="47">
        <v>0</v>
      </c>
      <c r="E15" s="40">
        <v>0</v>
      </c>
      <c r="F15" s="43">
        <v>0</v>
      </c>
    </row>
    <row r="16" spans="1:6" s="41" customFormat="1" ht="12">
      <c r="A16" s="130" t="s">
        <v>231</v>
      </c>
      <c r="B16" s="110" t="s">
        <v>124</v>
      </c>
      <c r="C16" s="51">
        <f t="shared" si="0"/>
        <v>0</v>
      </c>
      <c r="D16" s="47">
        <v>0</v>
      </c>
      <c r="E16" s="40">
        <v>0</v>
      </c>
      <c r="F16" s="43">
        <v>0</v>
      </c>
    </row>
    <row r="17" spans="1:6" s="41" customFormat="1" ht="12">
      <c r="A17" s="130" t="s">
        <v>232</v>
      </c>
      <c r="B17" s="110" t="s">
        <v>125</v>
      </c>
      <c r="C17" s="51">
        <f t="shared" si="0"/>
        <v>0</v>
      </c>
      <c r="D17" s="47">
        <v>0</v>
      </c>
      <c r="E17" s="40">
        <v>0</v>
      </c>
      <c r="F17" s="43">
        <v>0</v>
      </c>
    </row>
    <row r="18" spans="1:6" s="41" customFormat="1" ht="12">
      <c r="A18" s="130" t="s">
        <v>233</v>
      </c>
      <c r="B18" s="110" t="s">
        <v>126</v>
      </c>
      <c r="C18" s="51">
        <f t="shared" si="0"/>
        <v>0</v>
      </c>
      <c r="D18" s="47">
        <v>0</v>
      </c>
      <c r="E18" s="40">
        <v>0</v>
      </c>
      <c r="F18" s="43">
        <v>0</v>
      </c>
    </row>
    <row r="19" spans="1:6" ht="12">
      <c r="A19" s="129" t="s">
        <v>83</v>
      </c>
      <c r="B19" s="111" t="s">
        <v>127</v>
      </c>
      <c r="C19" s="50">
        <f t="shared" si="0"/>
        <v>0</v>
      </c>
      <c r="D19" s="48">
        <v>0</v>
      </c>
      <c r="E19" s="39">
        <v>0</v>
      </c>
      <c r="F19" s="44">
        <v>0</v>
      </c>
    </row>
    <row r="20" spans="1:6" ht="12">
      <c r="A20" s="129" t="s">
        <v>111</v>
      </c>
      <c r="B20" s="111" t="s">
        <v>128</v>
      </c>
      <c r="C20" s="50">
        <f t="shared" si="0"/>
        <v>0</v>
      </c>
      <c r="D20" s="48">
        <v>0</v>
      </c>
      <c r="E20" s="39">
        <v>0</v>
      </c>
      <c r="F20" s="44">
        <v>0</v>
      </c>
    </row>
    <row r="21" spans="1:6" ht="12">
      <c r="A21" s="129" t="s">
        <v>112</v>
      </c>
      <c r="B21" s="111" t="s">
        <v>129</v>
      </c>
      <c r="C21" s="50">
        <f t="shared" si="0"/>
        <v>0</v>
      </c>
      <c r="D21" s="48">
        <v>0</v>
      </c>
      <c r="E21" s="39">
        <v>0</v>
      </c>
      <c r="F21" s="44">
        <v>0</v>
      </c>
    </row>
    <row r="22" spans="1:6" ht="12">
      <c r="A22" s="129" t="s">
        <v>113</v>
      </c>
      <c r="B22" s="111" t="s">
        <v>130</v>
      </c>
      <c r="C22" s="50">
        <f t="shared" si="0"/>
        <v>0</v>
      </c>
      <c r="D22" s="48">
        <v>0</v>
      </c>
      <c r="E22" s="39">
        <v>0</v>
      </c>
      <c r="F22" s="44">
        <v>0</v>
      </c>
    </row>
    <row r="23" spans="1:6" ht="12">
      <c r="A23" s="122" t="s">
        <v>114</v>
      </c>
      <c r="B23" s="112" t="s">
        <v>131</v>
      </c>
      <c r="C23" s="53">
        <f t="shared" si="0"/>
        <v>0</v>
      </c>
      <c r="D23" s="54">
        <v>0</v>
      </c>
      <c r="E23" s="55">
        <v>0</v>
      </c>
      <c r="F23" s="56">
        <v>0</v>
      </c>
    </row>
    <row r="24" spans="1:6" s="41" customFormat="1" ht="12.75" thickBot="1">
      <c r="A24" s="133" t="s">
        <v>384</v>
      </c>
      <c r="B24" s="106" t="s">
        <v>385</v>
      </c>
      <c r="C24" s="85">
        <f t="shared" si="0"/>
        <v>0</v>
      </c>
      <c r="D24" s="83">
        <v>0</v>
      </c>
      <c r="E24" s="81">
        <v>0</v>
      </c>
      <c r="F24" s="82">
        <v>0</v>
      </c>
    </row>
    <row r="25" spans="1:6" s="29" customFormat="1" ht="12.75" customHeight="1" thickBot="1">
      <c r="A25" s="127" t="s">
        <v>6</v>
      </c>
      <c r="B25" s="108" t="s">
        <v>1090</v>
      </c>
      <c r="C25" s="71">
        <f>+C26+C27+C28+C29+C30+C31</f>
        <v>0</v>
      </c>
      <c r="D25" s="60">
        <f>+D26+D27+D28+D29+D30+D31</f>
        <v>0</v>
      </c>
      <c r="E25" s="61">
        <f>+E26+E27+E28+E29+E30+E31</f>
        <v>0</v>
      </c>
      <c r="F25" s="62">
        <f>+F26+F27+F28+F29+F30+F31</f>
        <v>0</v>
      </c>
    </row>
    <row r="26" spans="1:6" ht="12.75" customHeight="1">
      <c r="A26" s="128" t="s">
        <v>86</v>
      </c>
      <c r="B26" s="109" t="s">
        <v>132</v>
      </c>
      <c r="C26" s="63">
        <f aca="true" t="shared" si="1" ref="C26:C31">+D26+E26+F26</f>
        <v>0</v>
      </c>
      <c r="D26" s="68">
        <v>0</v>
      </c>
      <c r="E26" s="38">
        <v>0</v>
      </c>
      <c r="F26" s="69">
        <v>0</v>
      </c>
    </row>
    <row r="27" spans="1:6" ht="12.75" customHeight="1">
      <c r="A27" s="129" t="s">
        <v>87</v>
      </c>
      <c r="B27" s="111" t="s">
        <v>133</v>
      </c>
      <c r="C27" s="50">
        <f t="shared" si="1"/>
        <v>0</v>
      </c>
      <c r="D27" s="48">
        <v>0</v>
      </c>
      <c r="E27" s="39">
        <v>0</v>
      </c>
      <c r="F27" s="44">
        <v>0</v>
      </c>
    </row>
    <row r="28" spans="1:6" ht="12.75" customHeight="1">
      <c r="A28" s="129" t="s">
        <v>88</v>
      </c>
      <c r="B28" s="111" t="s">
        <v>134</v>
      </c>
      <c r="C28" s="50">
        <f t="shared" si="1"/>
        <v>0</v>
      </c>
      <c r="D28" s="48">
        <v>0</v>
      </c>
      <c r="E28" s="39">
        <v>0</v>
      </c>
      <c r="F28" s="44">
        <v>0</v>
      </c>
    </row>
    <row r="29" spans="1:6" ht="12.75" customHeight="1">
      <c r="A29" s="129" t="s">
        <v>218</v>
      </c>
      <c r="B29" s="111" t="s">
        <v>135</v>
      </c>
      <c r="C29" s="50">
        <f t="shared" si="1"/>
        <v>0</v>
      </c>
      <c r="D29" s="48">
        <v>0</v>
      </c>
      <c r="E29" s="39">
        <v>0</v>
      </c>
      <c r="F29" s="44">
        <v>0</v>
      </c>
    </row>
    <row r="30" spans="1:6" ht="12.75" customHeight="1">
      <c r="A30" s="122" t="s">
        <v>219</v>
      </c>
      <c r="B30" s="112" t="s">
        <v>136</v>
      </c>
      <c r="C30" s="53">
        <f t="shared" si="1"/>
        <v>0</v>
      </c>
      <c r="D30" s="48">
        <v>0</v>
      </c>
      <c r="E30" s="39">
        <v>0</v>
      </c>
      <c r="F30" s="44">
        <v>0</v>
      </c>
    </row>
    <row r="31" spans="1:6" ht="12.75" customHeight="1" thickBot="1">
      <c r="A31" s="122" t="s">
        <v>1089</v>
      </c>
      <c r="B31" s="112" t="s">
        <v>1091</v>
      </c>
      <c r="C31" s="53">
        <f t="shared" si="1"/>
        <v>0</v>
      </c>
      <c r="D31" s="48">
        <v>0</v>
      </c>
      <c r="E31" s="39">
        <v>0</v>
      </c>
      <c r="F31" s="44">
        <v>0</v>
      </c>
    </row>
    <row r="32" spans="1:6" s="29" customFormat="1" ht="12.75" customHeight="1" thickBot="1">
      <c r="A32" s="127" t="s">
        <v>3</v>
      </c>
      <c r="B32" s="108" t="s">
        <v>338</v>
      </c>
      <c r="C32" s="71">
        <f>+C33+C34+C35+C36+C37+C38+C39+C40+C41+C42</f>
        <v>35703</v>
      </c>
      <c r="D32" s="60">
        <f>+D33+D34+D35+D36+D37+D38+D39+D40+D41+D42</f>
        <v>11449</v>
      </c>
      <c r="E32" s="61">
        <f>+E33+E34+E35+E36+E37+E38+E39+E40+E41+E42</f>
        <v>24254</v>
      </c>
      <c r="F32" s="62">
        <f>+F33+F34+F35+F36+F37+F38+F39+F40+F41+F42</f>
        <v>0</v>
      </c>
    </row>
    <row r="33" spans="1:6" ht="12.75" customHeight="1">
      <c r="A33" s="128" t="s">
        <v>89</v>
      </c>
      <c r="B33" s="109" t="s">
        <v>137</v>
      </c>
      <c r="C33" s="63">
        <f aca="true" t="shared" si="2" ref="C33:C42">+D33+E33+F33</f>
        <v>0</v>
      </c>
      <c r="D33" s="68">
        <v>0</v>
      </c>
      <c r="E33" s="38">
        <v>0</v>
      </c>
      <c r="F33" s="69">
        <v>0</v>
      </c>
    </row>
    <row r="34" spans="1:6" ht="12.75" customHeight="1">
      <c r="A34" s="129" t="s">
        <v>90</v>
      </c>
      <c r="B34" s="111" t="s">
        <v>138</v>
      </c>
      <c r="C34" s="50">
        <f t="shared" si="2"/>
        <v>20098</v>
      </c>
      <c r="D34" s="48">
        <v>1000</v>
      </c>
      <c r="E34" s="39">
        <v>19098</v>
      </c>
      <c r="F34" s="44">
        <v>0</v>
      </c>
    </row>
    <row r="35" spans="1:6" ht="12.75" customHeight="1">
      <c r="A35" s="129" t="s">
        <v>91</v>
      </c>
      <c r="B35" s="111" t="s">
        <v>139</v>
      </c>
      <c r="C35" s="50">
        <f t="shared" si="2"/>
        <v>8291</v>
      </c>
      <c r="D35" s="48">
        <v>8291</v>
      </c>
      <c r="E35" s="39">
        <v>0</v>
      </c>
      <c r="F35" s="44">
        <v>0</v>
      </c>
    </row>
    <row r="36" spans="1:6" ht="12.75" customHeight="1">
      <c r="A36" s="129" t="s">
        <v>92</v>
      </c>
      <c r="B36" s="111" t="s">
        <v>140</v>
      </c>
      <c r="C36" s="50">
        <f t="shared" si="2"/>
        <v>0</v>
      </c>
      <c r="D36" s="48">
        <v>0</v>
      </c>
      <c r="E36" s="39">
        <v>0</v>
      </c>
      <c r="F36" s="44">
        <v>0</v>
      </c>
    </row>
    <row r="37" spans="1:6" ht="12.75" customHeight="1">
      <c r="A37" s="129" t="s">
        <v>93</v>
      </c>
      <c r="B37" s="111" t="s">
        <v>141</v>
      </c>
      <c r="C37" s="50">
        <f t="shared" si="2"/>
        <v>0</v>
      </c>
      <c r="D37" s="48">
        <v>0</v>
      </c>
      <c r="E37" s="39">
        <v>0</v>
      </c>
      <c r="F37" s="44">
        <v>0</v>
      </c>
    </row>
    <row r="38" spans="1:6" ht="12.75" customHeight="1">
      <c r="A38" s="129" t="s">
        <v>260</v>
      </c>
      <c r="B38" s="111" t="s">
        <v>142</v>
      </c>
      <c r="C38" s="50">
        <f t="shared" si="2"/>
        <v>7260</v>
      </c>
      <c r="D38" s="48">
        <v>2158</v>
      </c>
      <c r="E38" s="39">
        <v>5102</v>
      </c>
      <c r="F38" s="44">
        <v>0</v>
      </c>
    </row>
    <row r="39" spans="1:6" ht="12.75" customHeight="1">
      <c r="A39" s="129" t="s">
        <v>261</v>
      </c>
      <c r="B39" s="111" t="s">
        <v>143</v>
      </c>
      <c r="C39" s="50">
        <f t="shared" si="2"/>
        <v>54</v>
      </c>
      <c r="D39" s="48">
        <v>0</v>
      </c>
      <c r="E39" s="39">
        <v>54</v>
      </c>
      <c r="F39" s="44">
        <v>0</v>
      </c>
    </row>
    <row r="40" spans="1:6" ht="12.75" customHeight="1">
      <c r="A40" s="129" t="s">
        <v>262</v>
      </c>
      <c r="B40" s="111" t="s">
        <v>144</v>
      </c>
      <c r="C40" s="50">
        <f t="shared" si="2"/>
        <v>0</v>
      </c>
      <c r="D40" s="48">
        <v>0</v>
      </c>
      <c r="E40" s="39">
        <v>0</v>
      </c>
      <c r="F40" s="44">
        <v>0</v>
      </c>
    </row>
    <row r="41" spans="1:6" ht="12.75" customHeight="1">
      <c r="A41" s="129" t="s">
        <v>263</v>
      </c>
      <c r="B41" s="111" t="s">
        <v>145</v>
      </c>
      <c r="C41" s="50">
        <f t="shared" si="2"/>
        <v>0</v>
      </c>
      <c r="D41" s="48">
        <v>0</v>
      </c>
      <c r="E41" s="39">
        <v>0</v>
      </c>
      <c r="F41" s="44">
        <v>0</v>
      </c>
    </row>
    <row r="42" spans="1:6" ht="12.75" customHeight="1" thickBot="1">
      <c r="A42" s="122" t="s">
        <v>264</v>
      </c>
      <c r="B42" s="112" t="s">
        <v>146</v>
      </c>
      <c r="C42" s="53">
        <f t="shared" si="2"/>
        <v>0</v>
      </c>
      <c r="D42" s="54">
        <v>0</v>
      </c>
      <c r="E42" s="55">
        <v>0</v>
      </c>
      <c r="F42" s="56">
        <v>0</v>
      </c>
    </row>
    <row r="43" spans="1:6" s="29" customFormat="1" ht="12.75" thickBot="1">
      <c r="A43" s="127" t="s">
        <v>16</v>
      </c>
      <c r="B43" s="108" t="s">
        <v>339</v>
      </c>
      <c r="C43" s="71">
        <f>+C44+C45+C46</f>
        <v>0</v>
      </c>
      <c r="D43" s="60">
        <f>+D44+D45+D46</f>
        <v>0</v>
      </c>
      <c r="E43" s="61">
        <f>+E44+E45+E46</f>
        <v>0</v>
      </c>
      <c r="F43" s="62">
        <f>+F44+F45+F46</f>
        <v>0</v>
      </c>
    </row>
    <row r="44" spans="1:6" ht="12.75" customHeight="1">
      <c r="A44" s="128" t="s">
        <v>265</v>
      </c>
      <c r="B44" s="109" t="s">
        <v>147</v>
      </c>
      <c r="C44" s="63">
        <f>+D44+E44+F44</f>
        <v>0</v>
      </c>
      <c r="D44" s="68">
        <v>0</v>
      </c>
      <c r="E44" s="38">
        <v>0</v>
      </c>
      <c r="F44" s="69">
        <v>0</v>
      </c>
    </row>
    <row r="45" spans="1:6" ht="12.75" customHeight="1">
      <c r="A45" s="129" t="s">
        <v>266</v>
      </c>
      <c r="B45" s="111" t="s">
        <v>148</v>
      </c>
      <c r="C45" s="50">
        <f>+D45+E45+F45</f>
        <v>0</v>
      </c>
      <c r="D45" s="48">
        <v>0</v>
      </c>
      <c r="E45" s="39">
        <v>0</v>
      </c>
      <c r="F45" s="44">
        <v>0</v>
      </c>
    </row>
    <row r="46" spans="1:6" ht="12.75" customHeight="1" thickBot="1">
      <c r="A46" s="122" t="s">
        <v>267</v>
      </c>
      <c r="B46" s="112" t="s">
        <v>149</v>
      </c>
      <c r="C46" s="53">
        <f>+D46+E46+F46</f>
        <v>0</v>
      </c>
      <c r="D46" s="54">
        <v>0</v>
      </c>
      <c r="E46" s="55">
        <v>0</v>
      </c>
      <c r="F46" s="56">
        <v>0</v>
      </c>
    </row>
    <row r="47" spans="1:6" s="29" customFormat="1" ht="12.75" thickBot="1">
      <c r="A47" s="127" t="s">
        <v>15</v>
      </c>
      <c r="B47" s="113" t="s">
        <v>340</v>
      </c>
      <c r="C47" s="71">
        <f>+C48+C55+C61</f>
        <v>0</v>
      </c>
      <c r="D47" s="60">
        <f>+D48+D55+D61</f>
        <v>0</v>
      </c>
      <c r="E47" s="61">
        <f>+E48+E55+E61</f>
        <v>0</v>
      </c>
      <c r="F47" s="62">
        <f>+F48+F55+F61</f>
        <v>0</v>
      </c>
    </row>
    <row r="48" spans="1:6" s="29" customFormat="1" ht="12.75" customHeight="1" thickBot="1">
      <c r="A48" s="127" t="s">
        <v>14</v>
      </c>
      <c r="B48" s="108" t="s">
        <v>341</v>
      </c>
      <c r="C48" s="71">
        <f>+C49+C50+C51+C52+C53</f>
        <v>0</v>
      </c>
      <c r="D48" s="60">
        <f>+D49+D50+D51+D52+D53</f>
        <v>0</v>
      </c>
      <c r="E48" s="61">
        <f>+E49+E50+E51+E52+E53</f>
        <v>0</v>
      </c>
      <c r="F48" s="62">
        <f>+F49+F50+F51+F52+F53</f>
        <v>0</v>
      </c>
    </row>
    <row r="49" spans="1:6" ht="12">
      <c r="A49" s="128" t="s">
        <v>223</v>
      </c>
      <c r="B49" s="109" t="s">
        <v>150</v>
      </c>
      <c r="C49" s="63">
        <f aca="true" t="shared" si="3" ref="C49:C54">+D49+E49+F49</f>
        <v>0</v>
      </c>
      <c r="D49" s="68">
        <v>0</v>
      </c>
      <c r="E49" s="38">
        <v>0</v>
      </c>
      <c r="F49" s="69">
        <v>0</v>
      </c>
    </row>
    <row r="50" spans="1:6" ht="12">
      <c r="A50" s="129" t="s">
        <v>224</v>
      </c>
      <c r="B50" s="111" t="s">
        <v>151</v>
      </c>
      <c r="C50" s="50">
        <f t="shared" si="3"/>
        <v>0</v>
      </c>
      <c r="D50" s="48">
        <v>0</v>
      </c>
      <c r="E50" s="39">
        <v>0</v>
      </c>
      <c r="F50" s="44">
        <v>0</v>
      </c>
    </row>
    <row r="51" spans="1:6" ht="12">
      <c r="A51" s="129" t="s">
        <v>225</v>
      </c>
      <c r="B51" s="111" t="s">
        <v>152</v>
      </c>
      <c r="C51" s="50">
        <f t="shared" si="3"/>
        <v>0</v>
      </c>
      <c r="D51" s="48">
        <v>0</v>
      </c>
      <c r="E51" s="39">
        <v>0</v>
      </c>
      <c r="F51" s="44">
        <v>0</v>
      </c>
    </row>
    <row r="52" spans="1:6" ht="12">
      <c r="A52" s="129" t="s">
        <v>226</v>
      </c>
      <c r="B52" s="111" t="s">
        <v>153</v>
      </c>
      <c r="C52" s="50">
        <f t="shared" si="3"/>
        <v>0</v>
      </c>
      <c r="D52" s="48">
        <v>0</v>
      </c>
      <c r="E52" s="39">
        <v>0</v>
      </c>
      <c r="F52" s="44">
        <v>0</v>
      </c>
    </row>
    <row r="53" spans="1:6" ht="12">
      <c r="A53" s="122" t="s">
        <v>227</v>
      </c>
      <c r="B53" s="112" t="s">
        <v>154</v>
      </c>
      <c r="C53" s="53">
        <f t="shared" si="3"/>
        <v>0</v>
      </c>
      <c r="D53" s="54">
        <v>0</v>
      </c>
      <c r="E53" s="55">
        <v>0</v>
      </c>
      <c r="F53" s="56">
        <v>0</v>
      </c>
    </row>
    <row r="54" spans="1:6" s="41" customFormat="1" ht="12.75" thickBot="1">
      <c r="A54" s="133" t="s">
        <v>386</v>
      </c>
      <c r="B54" s="106" t="s">
        <v>394</v>
      </c>
      <c r="C54" s="85">
        <f t="shared" si="3"/>
        <v>0</v>
      </c>
      <c r="D54" s="83">
        <v>0</v>
      </c>
      <c r="E54" s="81">
        <v>0</v>
      </c>
      <c r="F54" s="82">
        <v>0</v>
      </c>
    </row>
    <row r="55" spans="1:6" s="29" customFormat="1" ht="12.75" customHeight="1" thickBot="1">
      <c r="A55" s="127" t="s">
        <v>13</v>
      </c>
      <c r="B55" s="108" t="s">
        <v>342</v>
      </c>
      <c r="C55" s="71">
        <f>+C56+C57+C58+C59+C60</f>
        <v>0</v>
      </c>
      <c r="D55" s="60">
        <f>+D56+D57+D58+D59+D60</f>
        <v>0</v>
      </c>
      <c r="E55" s="61">
        <f>+E56+E57+E58+E59+E60</f>
        <v>0</v>
      </c>
      <c r="F55" s="62">
        <f>+F56+F57+F58+F59+F60</f>
        <v>0</v>
      </c>
    </row>
    <row r="56" spans="1:6" ht="12.75" customHeight="1">
      <c r="A56" s="128" t="s">
        <v>94</v>
      </c>
      <c r="B56" s="109" t="s">
        <v>155</v>
      </c>
      <c r="C56" s="63">
        <f>+D56+E56+F56</f>
        <v>0</v>
      </c>
      <c r="D56" s="68">
        <v>0</v>
      </c>
      <c r="E56" s="38">
        <v>0</v>
      </c>
      <c r="F56" s="69">
        <v>0</v>
      </c>
    </row>
    <row r="57" spans="1:6" ht="12.75" customHeight="1">
      <c r="A57" s="129" t="s">
        <v>95</v>
      </c>
      <c r="B57" s="111" t="s">
        <v>156</v>
      </c>
      <c r="C57" s="50">
        <f>+D57+E57+F57</f>
        <v>0</v>
      </c>
      <c r="D57" s="48">
        <v>0</v>
      </c>
      <c r="E57" s="39">
        <v>0</v>
      </c>
      <c r="F57" s="44">
        <v>0</v>
      </c>
    </row>
    <row r="58" spans="1:6" ht="12.75" customHeight="1">
      <c r="A58" s="129" t="s">
        <v>96</v>
      </c>
      <c r="B58" s="111" t="s">
        <v>157</v>
      </c>
      <c r="C58" s="50">
        <f>+D58+E58+F58</f>
        <v>0</v>
      </c>
      <c r="D58" s="48">
        <v>0</v>
      </c>
      <c r="E58" s="39">
        <v>0</v>
      </c>
      <c r="F58" s="44">
        <v>0</v>
      </c>
    </row>
    <row r="59" spans="1:6" ht="12.75" customHeight="1">
      <c r="A59" s="129" t="s">
        <v>268</v>
      </c>
      <c r="B59" s="111" t="s">
        <v>158</v>
      </c>
      <c r="C59" s="50">
        <f>+D59+E59+F59</f>
        <v>0</v>
      </c>
      <c r="D59" s="48">
        <v>0</v>
      </c>
      <c r="E59" s="39">
        <v>0</v>
      </c>
      <c r="F59" s="44">
        <v>0</v>
      </c>
    </row>
    <row r="60" spans="1:6" ht="12.75" customHeight="1" thickBot="1">
      <c r="A60" s="122" t="s">
        <v>269</v>
      </c>
      <c r="B60" s="112" t="s">
        <v>159</v>
      </c>
      <c r="C60" s="53">
        <f>+D60+E60+F60</f>
        <v>0</v>
      </c>
      <c r="D60" s="54">
        <v>0</v>
      </c>
      <c r="E60" s="55">
        <v>0</v>
      </c>
      <c r="F60" s="56">
        <v>0</v>
      </c>
    </row>
    <row r="61" spans="1:6" s="29" customFormat="1" ht="12.75" thickBot="1">
      <c r="A61" s="127" t="s">
        <v>12</v>
      </c>
      <c r="B61" s="108" t="s">
        <v>343</v>
      </c>
      <c r="C61" s="71">
        <f>+C62+C63+C64</f>
        <v>0</v>
      </c>
      <c r="D61" s="60">
        <f>+D62+D63+D64</f>
        <v>0</v>
      </c>
      <c r="E61" s="61">
        <f>+E62+E63+E64</f>
        <v>0</v>
      </c>
      <c r="F61" s="62">
        <f>+F62+F63+F64</f>
        <v>0</v>
      </c>
    </row>
    <row r="62" spans="1:6" ht="12">
      <c r="A62" s="128" t="s">
        <v>97</v>
      </c>
      <c r="B62" s="109" t="s">
        <v>160</v>
      </c>
      <c r="C62" s="63">
        <f>+D62+E62+F62</f>
        <v>0</v>
      </c>
      <c r="D62" s="68">
        <v>0</v>
      </c>
      <c r="E62" s="38">
        <v>0</v>
      </c>
      <c r="F62" s="69">
        <v>0</v>
      </c>
    </row>
    <row r="63" spans="1:6" ht="12">
      <c r="A63" s="129" t="s">
        <v>98</v>
      </c>
      <c r="B63" s="111" t="s">
        <v>161</v>
      </c>
      <c r="C63" s="50">
        <f>+D63+E63+F63</f>
        <v>0</v>
      </c>
      <c r="D63" s="48">
        <v>0</v>
      </c>
      <c r="E63" s="39">
        <v>0</v>
      </c>
      <c r="F63" s="44">
        <v>0</v>
      </c>
    </row>
    <row r="64" spans="1:6" ht="12.75" thickBot="1">
      <c r="A64" s="122" t="s">
        <v>99</v>
      </c>
      <c r="B64" s="112" t="s">
        <v>162</v>
      </c>
      <c r="C64" s="53">
        <f>+D64+E64+F64</f>
        <v>0</v>
      </c>
      <c r="D64" s="54">
        <v>0</v>
      </c>
      <c r="E64" s="55">
        <v>0</v>
      </c>
      <c r="F64" s="56">
        <v>0</v>
      </c>
    </row>
    <row r="65" spans="1:6" s="29" customFormat="1" ht="12.75" thickBot="1">
      <c r="A65" s="127" t="s">
        <v>11</v>
      </c>
      <c r="B65" s="113" t="s">
        <v>344</v>
      </c>
      <c r="C65" s="71">
        <f>+C10+C47</f>
        <v>35703</v>
      </c>
      <c r="D65" s="60">
        <f>+D10+D47</f>
        <v>11449</v>
      </c>
      <c r="E65" s="61">
        <f>+E10+E47</f>
        <v>24254</v>
      </c>
      <c r="F65" s="62">
        <f>+F10+F47</f>
        <v>0</v>
      </c>
    </row>
    <row r="66" spans="1:6" s="29" customFormat="1" ht="12.75" thickBot="1">
      <c r="A66" s="127" t="s">
        <v>10</v>
      </c>
      <c r="B66" s="114" t="s">
        <v>345</v>
      </c>
      <c r="C66" s="71">
        <f>+C67</f>
        <v>261664</v>
      </c>
      <c r="D66" s="60">
        <f>+D67</f>
        <v>261664</v>
      </c>
      <c r="E66" s="61">
        <f>+E67</f>
        <v>0</v>
      </c>
      <c r="F66" s="62">
        <f>+F67</f>
        <v>0</v>
      </c>
    </row>
    <row r="67" spans="1:6" s="29" customFormat="1" ht="12.75" thickBot="1">
      <c r="A67" s="127" t="s">
        <v>9</v>
      </c>
      <c r="B67" s="108" t="s">
        <v>346</v>
      </c>
      <c r="C67" s="71">
        <f>+C68+C77+C78</f>
        <v>261664</v>
      </c>
      <c r="D67" s="60">
        <f>+D68+D77+D78</f>
        <v>261664</v>
      </c>
      <c r="E67" s="61">
        <f>+E68+E77+E78</f>
        <v>0</v>
      </c>
      <c r="F67" s="62">
        <f>+F68+F77+F78</f>
        <v>0</v>
      </c>
    </row>
    <row r="68" spans="1:6" ht="12">
      <c r="A68" s="128" t="s">
        <v>101</v>
      </c>
      <c r="B68" s="109" t="s">
        <v>347</v>
      </c>
      <c r="C68" s="63">
        <f>+C69+C70+C71+C72+C73+C74+C75+C76</f>
        <v>261664</v>
      </c>
      <c r="D68" s="68">
        <f>+D69+D70+D71+D72+D73+D74+D75+D76</f>
        <v>261664</v>
      </c>
      <c r="E68" s="38">
        <f>+E69+E70+E71+E72+E73+E74+E75+E76</f>
        <v>0</v>
      </c>
      <c r="F68" s="69">
        <f>+F69+F70+F71+F72+F73+F74+F75+F76</f>
        <v>0</v>
      </c>
    </row>
    <row r="69" spans="1:6" s="41" customFormat="1" ht="12">
      <c r="A69" s="130" t="s">
        <v>234</v>
      </c>
      <c r="B69" s="110" t="s">
        <v>284</v>
      </c>
      <c r="C69" s="51">
        <f aca="true" t="shared" si="4" ref="C69:C78">+D69+E69+F69</f>
        <v>0</v>
      </c>
      <c r="D69" s="47">
        <v>0</v>
      </c>
      <c r="E69" s="40">
        <v>0</v>
      </c>
      <c r="F69" s="43">
        <v>0</v>
      </c>
    </row>
    <row r="70" spans="1:6" s="41" customFormat="1" ht="12">
      <c r="A70" s="130" t="s">
        <v>235</v>
      </c>
      <c r="B70" s="110" t="s">
        <v>285</v>
      </c>
      <c r="C70" s="51">
        <f t="shared" si="4"/>
        <v>0</v>
      </c>
      <c r="D70" s="47">
        <v>0</v>
      </c>
      <c r="E70" s="40">
        <v>0</v>
      </c>
      <c r="F70" s="43">
        <v>0</v>
      </c>
    </row>
    <row r="71" spans="1:6" s="41" customFormat="1" ht="12">
      <c r="A71" s="130" t="s">
        <v>236</v>
      </c>
      <c r="B71" s="110" t="s">
        <v>286</v>
      </c>
      <c r="C71" s="51">
        <f t="shared" si="4"/>
        <v>0</v>
      </c>
      <c r="D71" s="47">
        <v>0</v>
      </c>
      <c r="E71" s="40">
        <v>0</v>
      </c>
      <c r="F71" s="43">
        <v>0</v>
      </c>
    </row>
    <row r="72" spans="1:6" s="41" customFormat="1" ht="12">
      <c r="A72" s="130" t="s">
        <v>237</v>
      </c>
      <c r="B72" s="110" t="s">
        <v>287</v>
      </c>
      <c r="C72" s="51">
        <f t="shared" si="4"/>
        <v>0</v>
      </c>
      <c r="D72" s="47">
        <v>0</v>
      </c>
      <c r="E72" s="40">
        <v>0</v>
      </c>
      <c r="F72" s="43">
        <v>0</v>
      </c>
    </row>
    <row r="73" spans="1:6" s="41" customFormat="1" ht="12">
      <c r="A73" s="130" t="s">
        <v>238</v>
      </c>
      <c r="B73" s="110" t="s">
        <v>288</v>
      </c>
      <c r="C73" s="51">
        <f t="shared" si="4"/>
        <v>0</v>
      </c>
      <c r="D73" s="47">
        <v>0</v>
      </c>
      <c r="E73" s="40">
        <v>0</v>
      </c>
      <c r="F73" s="43">
        <v>0</v>
      </c>
    </row>
    <row r="74" spans="1:6" s="41" customFormat="1" ht="12">
      <c r="A74" s="130" t="s">
        <v>239</v>
      </c>
      <c r="B74" s="110" t="s">
        <v>289</v>
      </c>
      <c r="C74" s="51">
        <f t="shared" si="4"/>
        <v>261664</v>
      </c>
      <c r="D74" s="47">
        <v>261664</v>
      </c>
      <c r="E74" s="40">
        <v>0</v>
      </c>
      <c r="F74" s="43">
        <v>0</v>
      </c>
    </row>
    <row r="75" spans="1:6" s="41" customFormat="1" ht="12">
      <c r="A75" s="130" t="s">
        <v>242</v>
      </c>
      <c r="B75" s="110" t="s">
        <v>290</v>
      </c>
      <c r="C75" s="51">
        <f t="shared" si="4"/>
        <v>0</v>
      </c>
      <c r="D75" s="47">
        <v>0</v>
      </c>
      <c r="E75" s="40">
        <v>0</v>
      </c>
      <c r="F75" s="43">
        <v>0</v>
      </c>
    </row>
    <row r="76" spans="1:6" s="41" customFormat="1" ht="12">
      <c r="A76" s="130" t="s">
        <v>240</v>
      </c>
      <c r="B76" s="110" t="s">
        <v>283</v>
      </c>
      <c r="C76" s="51">
        <f t="shared" si="4"/>
        <v>0</v>
      </c>
      <c r="D76" s="47">
        <v>0</v>
      </c>
      <c r="E76" s="40">
        <v>0</v>
      </c>
      <c r="F76" s="43">
        <v>0</v>
      </c>
    </row>
    <row r="77" spans="1:6" ht="12">
      <c r="A77" s="129" t="s">
        <v>102</v>
      </c>
      <c r="B77" s="111" t="s">
        <v>281</v>
      </c>
      <c r="C77" s="50">
        <f t="shared" si="4"/>
        <v>0</v>
      </c>
      <c r="D77" s="48">
        <v>0</v>
      </c>
      <c r="E77" s="39">
        <v>0</v>
      </c>
      <c r="F77" s="44">
        <v>0</v>
      </c>
    </row>
    <row r="78" spans="1:6" ht="12.75" thickBot="1">
      <c r="A78" s="122" t="s">
        <v>241</v>
      </c>
      <c r="B78" s="112" t="s">
        <v>282</v>
      </c>
      <c r="C78" s="53">
        <f t="shared" si="4"/>
        <v>0</v>
      </c>
      <c r="D78" s="54">
        <v>0</v>
      </c>
      <c r="E78" s="55">
        <v>0</v>
      </c>
      <c r="F78" s="56">
        <v>0</v>
      </c>
    </row>
    <row r="79" spans="1:6" s="29" customFormat="1" ht="12.75" thickBot="1">
      <c r="A79" s="127" t="s">
        <v>73</v>
      </c>
      <c r="B79" s="114" t="s">
        <v>348</v>
      </c>
      <c r="C79" s="71">
        <f>+C80</f>
        <v>39000</v>
      </c>
      <c r="D79" s="60">
        <f>+D80</f>
        <v>39000</v>
      </c>
      <c r="E79" s="61">
        <f>+E80</f>
        <v>0</v>
      </c>
      <c r="F79" s="62">
        <f>+F80</f>
        <v>0</v>
      </c>
    </row>
    <row r="80" spans="1:6" s="29" customFormat="1" ht="12.75" thickBot="1">
      <c r="A80" s="127" t="s">
        <v>72</v>
      </c>
      <c r="B80" s="108" t="s">
        <v>349</v>
      </c>
      <c r="C80" s="71">
        <f>+C81+C90+C91</f>
        <v>39000</v>
      </c>
      <c r="D80" s="60">
        <f>+D81+D90+D91</f>
        <v>39000</v>
      </c>
      <c r="E80" s="61">
        <f>+E81+E90+E91</f>
        <v>0</v>
      </c>
      <c r="F80" s="62">
        <f>+F81+F90+F91</f>
        <v>0</v>
      </c>
    </row>
    <row r="81" spans="1:6" ht="12">
      <c r="A81" s="128" t="s">
        <v>270</v>
      </c>
      <c r="B81" s="109" t="s">
        <v>350</v>
      </c>
      <c r="C81" s="63">
        <f>+C82+C83+C84+C85+C86+C87+C88+C89</f>
        <v>39000</v>
      </c>
      <c r="D81" s="68">
        <f>+D82+D83+D84+D85+D86+D87+D88+D89</f>
        <v>39000</v>
      </c>
      <c r="E81" s="38">
        <f>+E82+E83+E84+E85+E86+E87+E88+E89</f>
        <v>0</v>
      </c>
      <c r="F81" s="69">
        <f>+F82+F83+F84+F85+F86+F87+F88+F89</f>
        <v>0</v>
      </c>
    </row>
    <row r="82" spans="1:6" s="41" customFormat="1" ht="12">
      <c r="A82" s="130" t="s">
        <v>271</v>
      </c>
      <c r="B82" s="110" t="s">
        <v>284</v>
      </c>
      <c r="C82" s="51">
        <f aca="true" t="shared" si="5" ref="C82:C91">+D82+E82+F82</f>
        <v>0</v>
      </c>
      <c r="D82" s="47">
        <v>0</v>
      </c>
      <c r="E82" s="40">
        <v>0</v>
      </c>
      <c r="F82" s="43">
        <v>0</v>
      </c>
    </row>
    <row r="83" spans="1:6" s="41" customFormat="1" ht="12">
      <c r="A83" s="130" t="s">
        <v>272</v>
      </c>
      <c r="B83" s="110" t="s">
        <v>285</v>
      </c>
      <c r="C83" s="51">
        <f t="shared" si="5"/>
        <v>0</v>
      </c>
      <c r="D83" s="47">
        <v>0</v>
      </c>
      <c r="E83" s="40">
        <v>0</v>
      </c>
      <c r="F83" s="43">
        <v>0</v>
      </c>
    </row>
    <row r="84" spans="1:6" s="41" customFormat="1" ht="12">
      <c r="A84" s="130" t="s">
        <v>273</v>
      </c>
      <c r="B84" s="110" t="s">
        <v>286</v>
      </c>
      <c r="C84" s="51">
        <f t="shared" si="5"/>
        <v>0</v>
      </c>
      <c r="D84" s="47">
        <v>0</v>
      </c>
      <c r="E84" s="40">
        <v>0</v>
      </c>
      <c r="F84" s="43">
        <v>0</v>
      </c>
    </row>
    <row r="85" spans="1:6" s="41" customFormat="1" ht="12">
      <c r="A85" s="130" t="s">
        <v>274</v>
      </c>
      <c r="B85" s="110" t="s">
        <v>287</v>
      </c>
      <c r="C85" s="51">
        <f t="shared" si="5"/>
        <v>0</v>
      </c>
      <c r="D85" s="47">
        <v>0</v>
      </c>
      <c r="E85" s="40">
        <v>0</v>
      </c>
      <c r="F85" s="43">
        <v>0</v>
      </c>
    </row>
    <row r="86" spans="1:6" s="41" customFormat="1" ht="12">
      <c r="A86" s="130" t="s">
        <v>275</v>
      </c>
      <c r="B86" s="110" t="s">
        <v>288</v>
      </c>
      <c r="C86" s="51">
        <f t="shared" si="5"/>
        <v>0</v>
      </c>
      <c r="D86" s="47">
        <v>0</v>
      </c>
      <c r="E86" s="40">
        <v>0</v>
      </c>
      <c r="F86" s="43">
        <v>0</v>
      </c>
    </row>
    <row r="87" spans="1:6" s="41" customFormat="1" ht="12">
      <c r="A87" s="130" t="s">
        <v>276</v>
      </c>
      <c r="B87" s="110" t="s">
        <v>289</v>
      </c>
      <c r="C87" s="51">
        <f t="shared" si="5"/>
        <v>39000</v>
      </c>
      <c r="D87" s="47">
        <v>39000</v>
      </c>
      <c r="E87" s="40">
        <v>0</v>
      </c>
      <c r="F87" s="43">
        <v>0</v>
      </c>
    </row>
    <row r="88" spans="1:6" s="41" customFormat="1" ht="12">
      <c r="A88" s="130" t="s">
        <v>277</v>
      </c>
      <c r="B88" s="110" t="s">
        <v>290</v>
      </c>
      <c r="C88" s="51">
        <f t="shared" si="5"/>
        <v>0</v>
      </c>
      <c r="D88" s="47">
        <v>0</v>
      </c>
      <c r="E88" s="40">
        <v>0</v>
      </c>
      <c r="F88" s="43">
        <v>0</v>
      </c>
    </row>
    <row r="89" spans="1:6" s="41" customFormat="1" ht="12">
      <c r="A89" s="130" t="s">
        <v>278</v>
      </c>
      <c r="B89" s="110" t="s">
        <v>283</v>
      </c>
      <c r="C89" s="51">
        <f t="shared" si="5"/>
        <v>0</v>
      </c>
      <c r="D89" s="47">
        <v>0</v>
      </c>
      <c r="E89" s="40">
        <v>0</v>
      </c>
      <c r="F89" s="43">
        <v>0</v>
      </c>
    </row>
    <row r="90" spans="1:6" ht="12">
      <c r="A90" s="129" t="s">
        <v>279</v>
      </c>
      <c r="B90" s="111" t="s">
        <v>281</v>
      </c>
      <c r="C90" s="50">
        <f t="shared" si="5"/>
        <v>0</v>
      </c>
      <c r="D90" s="48">
        <v>0</v>
      </c>
      <c r="E90" s="39">
        <v>0</v>
      </c>
      <c r="F90" s="44">
        <v>0</v>
      </c>
    </row>
    <row r="91" spans="1:6" ht="12.75" thickBot="1">
      <c r="A91" s="122" t="s">
        <v>280</v>
      </c>
      <c r="B91" s="112" t="s">
        <v>282</v>
      </c>
      <c r="C91" s="53">
        <f t="shared" si="5"/>
        <v>0</v>
      </c>
      <c r="D91" s="54">
        <v>0</v>
      </c>
      <c r="E91" s="55">
        <v>0</v>
      </c>
      <c r="F91" s="56">
        <v>0</v>
      </c>
    </row>
    <row r="92" spans="1:6" s="29" customFormat="1" ht="12.75" thickBot="1">
      <c r="A92" s="127" t="s">
        <v>71</v>
      </c>
      <c r="B92" s="113" t="s">
        <v>351</v>
      </c>
      <c r="C92" s="71">
        <f>+C66+C79</f>
        <v>300664</v>
      </c>
      <c r="D92" s="60">
        <f>+D66+D79</f>
        <v>300664</v>
      </c>
      <c r="E92" s="61">
        <f>+E66+E79</f>
        <v>0</v>
      </c>
      <c r="F92" s="62">
        <f>+F66+F79</f>
        <v>0</v>
      </c>
    </row>
    <row r="93" spans="1:6" s="29" customFormat="1" ht="12.75" thickBot="1">
      <c r="A93" s="131" t="s">
        <v>68</v>
      </c>
      <c r="B93" s="115" t="s">
        <v>352</v>
      </c>
      <c r="C93" s="72">
        <f>+C65+C92</f>
        <v>336367</v>
      </c>
      <c r="D93" s="57">
        <f>+D65+D92</f>
        <v>312113</v>
      </c>
      <c r="E93" s="58">
        <f>+E65+E92</f>
        <v>24254</v>
      </c>
      <c r="F93" s="59">
        <f>+F65+F92</f>
        <v>0</v>
      </c>
    </row>
    <row r="94" spans="1:6" s="29" customFormat="1" ht="12">
      <c r="A94" s="93"/>
      <c r="B94" s="64"/>
      <c r="C94" s="64"/>
      <c r="D94" s="64"/>
      <c r="E94" s="64"/>
      <c r="F94" s="64"/>
    </row>
    <row r="95" spans="1:6" s="29" customFormat="1" ht="12">
      <c r="A95" s="93"/>
      <c r="B95" s="64"/>
      <c r="C95" s="64"/>
      <c r="D95" s="64"/>
      <c r="E95" s="64"/>
      <c r="F95" s="64"/>
    </row>
    <row r="96" spans="1:6" s="92" customFormat="1" ht="15.75">
      <c r="A96" s="1298" t="s">
        <v>108</v>
      </c>
      <c r="B96" s="1298"/>
      <c r="C96" s="1298"/>
      <c r="D96" s="1298"/>
      <c r="E96" s="1298"/>
      <c r="F96" s="1298"/>
    </row>
    <row r="97" spans="1:6" s="73" customFormat="1" ht="12.75" thickBot="1">
      <c r="A97" s="75" t="s">
        <v>317</v>
      </c>
      <c r="F97" s="74" t="s">
        <v>319</v>
      </c>
    </row>
    <row r="98" spans="1:6" s="29" customFormat="1" ht="48.75" thickBot="1">
      <c r="A98" s="123" t="s">
        <v>17</v>
      </c>
      <c r="B98" s="124" t="s">
        <v>379</v>
      </c>
      <c r="C98" s="76" t="s">
        <v>419</v>
      </c>
      <c r="D98" s="32" t="s">
        <v>79</v>
      </c>
      <c r="E98" s="33" t="s">
        <v>80</v>
      </c>
      <c r="F98" s="34" t="s">
        <v>81</v>
      </c>
    </row>
    <row r="99" spans="1:6" s="29" customFormat="1" ht="12.75" thickBot="1">
      <c r="A99" s="125" t="s">
        <v>291</v>
      </c>
      <c r="B99" s="126" t="s">
        <v>292</v>
      </c>
      <c r="C99" s="1303" t="s">
        <v>293</v>
      </c>
      <c r="D99" s="1304"/>
      <c r="E99" s="1304"/>
      <c r="F99" s="1305"/>
    </row>
    <row r="100" spans="1:6" s="29" customFormat="1" ht="12.75" thickBot="1">
      <c r="A100" s="127" t="s">
        <v>4</v>
      </c>
      <c r="B100" s="113" t="s">
        <v>353</v>
      </c>
      <c r="C100" s="71">
        <f>+C101+C105+C107+C114+C123</f>
        <v>297367</v>
      </c>
      <c r="D100" s="60">
        <f>+D101+D105+D107+D114+D123</f>
        <v>273113</v>
      </c>
      <c r="E100" s="61">
        <f>+E101+E105+E107+E114+E123</f>
        <v>24254</v>
      </c>
      <c r="F100" s="62">
        <f>+F101+F105+F107+F114+F123</f>
        <v>0</v>
      </c>
    </row>
    <row r="101" spans="1:6" s="29" customFormat="1" ht="12.75" thickBot="1">
      <c r="A101" s="127" t="s">
        <v>5</v>
      </c>
      <c r="B101" s="108" t="s">
        <v>354</v>
      </c>
      <c r="C101" s="71">
        <f>+C103+C104</f>
        <v>140480</v>
      </c>
      <c r="D101" s="60">
        <f>+D103+D104</f>
        <v>140480</v>
      </c>
      <c r="E101" s="61">
        <f>+E103+E104</f>
        <v>0</v>
      </c>
      <c r="F101" s="62">
        <f>+F103+F104</f>
        <v>0</v>
      </c>
    </row>
    <row r="102" spans="1:6" s="73" customFormat="1" ht="12">
      <c r="A102" s="140" t="s">
        <v>406</v>
      </c>
      <c r="B102" s="141" t="s">
        <v>407</v>
      </c>
      <c r="C102" s="142">
        <f>+D102+E102+F102</f>
        <v>0</v>
      </c>
      <c r="D102" s="143">
        <v>0</v>
      </c>
      <c r="E102" s="144">
        <v>0</v>
      </c>
      <c r="F102" s="145">
        <v>0</v>
      </c>
    </row>
    <row r="103" spans="1:6" ht="12">
      <c r="A103" s="128" t="s">
        <v>82</v>
      </c>
      <c r="B103" s="109" t="s">
        <v>163</v>
      </c>
      <c r="C103" s="63">
        <f>+D103+E103+F103</f>
        <v>118013</v>
      </c>
      <c r="D103" s="68">
        <v>118013</v>
      </c>
      <c r="E103" s="38">
        <v>0</v>
      </c>
      <c r="F103" s="69">
        <v>0</v>
      </c>
    </row>
    <row r="104" spans="1:6" ht="12.75" thickBot="1">
      <c r="A104" s="122" t="s">
        <v>83</v>
      </c>
      <c r="B104" s="112" t="s">
        <v>164</v>
      </c>
      <c r="C104" s="53">
        <f>+D104+E104+F104</f>
        <v>22467</v>
      </c>
      <c r="D104" s="54">
        <v>22467</v>
      </c>
      <c r="E104" s="55">
        <v>0</v>
      </c>
      <c r="F104" s="56">
        <v>0</v>
      </c>
    </row>
    <row r="105" spans="1:6" s="29" customFormat="1" ht="12.75" thickBot="1">
      <c r="A105" s="127" t="s">
        <v>6</v>
      </c>
      <c r="B105" s="108" t="s">
        <v>294</v>
      </c>
      <c r="C105" s="71">
        <f>+D105+E105+F105</f>
        <v>33476</v>
      </c>
      <c r="D105" s="60">
        <v>33476</v>
      </c>
      <c r="E105" s="61">
        <v>0</v>
      </c>
      <c r="F105" s="62">
        <v>0</v>
      </c>
    </row>
    <row r="106" spans="1:6" s="73" customFormat="1" ht="12.75" thickBot="1">
      <c r="A106" s="140" t="s">
        <v>403</v>
      </c>
      <c r="B106" s="141" t="s">
        <v>404</v>
      </c>
      <c r="C106" s="142">
        <f>+D106+E106+F106</f>
        <v>0</v>
      </c>
      <c r="D106" s="143">
        <v>0</v>
      </c>
      <c r="E106" s="144">
        <v>0</v>
      </c>
      <c r="F106" s="145">
        <v>0</v>
      </c>
    </row>
    <row r="107" spans="1:6" s="29" customFormat="1" ht="12.75" thickBot="1">
      <c r="A107" s="127" t="s">
        <v>3</v>
      </c>
      <c r="B107" s="108" t="s">
        <v>400</v>
      </c>
      <c r="C107" s="71">
        <f>+C109+C110+C111+C112+C113</f>
        <v>123411</v>
      </c>
      <c r="D107" s="60">
        <f>+D109+D110+D111+D112+D113</f>
        <v>99157</v>
      </c>
      <c r="E107" s="61">
        <f>+E109+E110+E111+E112+E113</f>
        <v>24254</v>
      </c>
      <c r="F107" s="62">
        <f>+F109+F110+F111+F112+F113</f>
        <v>0</v>
      </c>
    </row>
    <row r="108" spans="1:6" s="73" customFormat="1" ht="12">
      <c r="A108" s="140" t="s">
        <v>398</v>
      </c>
      <c r="B108" s="141" t="s">
        <v>405</v>
      </c>
      <c r="C108" s="142">
        <f aca="true" t="shared" si="6" ref="C108:C113">+D108+E108+F108</f>
        <v>0</v>
      </c>
      <c r="D108" s="143">
        <v>0</v>
      </c>
      <c r="E108" s="144">
        <v>0</v>
      </c>
      <c r="F108" s="145">
        <v>0</v>
      </c>
    </row>
    <row r="109" spans="1:6" ht="12">
      <c r="A109" s="128" t="s">
        <v>89</v>
      </c>
      <c r="B109" s="109" t="s">
        <v>165</v>
      </c>
      <c r="C109" s="63">
        <f t="shared" si="6"/>
        <v>15406</v>
      </c>
      <c r="D109" s="68">
        <v>5076</v>
      </c>
      <c r="E109" s="38">
        <v>10330</v>
      </c>
      <c r="F109" s="69">
        <v>0</v>
      </c>
    </row>
    <row r="110" spans="1:6" ht="12">
      <c r="A110" s="129" t="s">
        <v>90</v>
      </c>
      <c r="B110" s="111" t="s">
        <v>166</v>
      </c>
      <c r="C110" s="50">
        <f t="shared" si="6"/>
        <v>16610</v>
      </c>
      <c r="D110" s="48">
        <v>16560</v>
      </c>
      <c r="E110" s="39">
        <v>50</v>
      </c>
      <c r="F110" s="44">
        <v>0</v>
      </c>
    </row>
    <row r="111" spans="1:6" ht="12">
      <c r="A111" s="129" t="s">
        <v>91</v>
      </c>
      <c r="B111" s="111" t="s">
        <v>167</v>
      </c>
      <c r="C111" s="50">
        <f t="shared" si="6"/>
        <v>64015</v>
      </c>
      <c r="D111" s="48">
        <v>55297</v>
      </c>
      <c r="E111" s="39">
        <v>8718</v>
      </c>
      <c r="F111" s="44">
        <v>0</v>
      </c>
    </row>
    <row r="112" spans="1:6" ht="12">
      <c r="A112" s="129" t="s">
        <v>92</v>
      </c>
      <c r="B112" s="111" t="s">
        <v>168</v>
      </c>
      <c r="C112" s="50">
        <f t="shared" si="6"/>
        <v>758</v>
      </c>
      <c r="D112" s="48">
        <v>758</v>
      </c>
      <c r="E112" s="39">
        <v>0</v>
      </c>
      <c r="F112" s="44">
        <v>0</v>
      </c>
    </row>
    <row r="113" spans="1:6" ht="12.75" thickBot="1">
      <c r="A113" s="122" t="s">
        <v>93</v>
      </c>
      <c r="B113" s="112" t="s">
        <v>169</v>
      </c>
      <c r="C113" s="53">
        <f t="shared" si="6"/>
        <v>26622</v>
      </c>
      <c r="D113" s="54">
        <v>21466</v>
      </c>
      <c r="E113" s="55">
        <v>5156</v>
      </c>
      <c r="F113" s="56">
        <v>0</v>
      </c>
    </row>
    <row r="114" spans="1:6" s="29" customFormat="1" ht="12.75" thickBot="1">
      <c r="A114" s="127" t="s">
        <v>16</v>
      </c>
      <c r="B114" s="108" t="s">
        <v>355</v>
      </c>
      <c r="C114" s="71">
        <f>+C115+C116+C117+C118+C119+C120+C121+C122</f>
        <v>0</v>
      </c>
      <c r="D114" s="60">
        <f>+D115+D116+D117+D118+D119+D120+D121+D122</f>
        <v>0</v>
      </c>
      <c r="E114" s="61">
        <f>+E115+E116+E117+E118+E119+E120+E121+E122</f>
        <v>0</v>
      </c>
      <c r="F114" s="62">
        <f>+F115+F116+F117+F118+F119+F120+F121+F122</f>
        <v>0</v>
      </c>
    </row>
    <row r="115" spans="1:6" ht="12">
      <c r="A115" s="128" t="s">
        <v>265</v>
      </c>
      <c r="B115" s="109" t="s">
        <v>170</v>
      </c>
      <c r="C115" s="63">
        <f aca="true" t="shared" si="7" ref="C115:C122">+D115+E115+F115</f>
        <v>0</v>
      </c>
      <c r="D115" s="68">
        <v>0</v>
      </c>
      <c r="E115" s="38">
        <v>0</v>
      </c>
      <c r="F115" s="69">
        <v>0</v>
      </c>
    </row>
    <row r="116" spans="1:6" ht="12">
      <c r="A116" s="129" t="s">
        <v>266</v>
      </c>
      <c r="B116" s="111" t="s">
        <v>171</v>
      </c>
      <c r="C116" s="50">
        <f t="shared" si="7"/>
        <v>0</v>
      </c>
      <c r="D116" s="48">
        <v>0</v>
      </c>
      <c r="E116" s="39">
        <v>0</v>
      </c>
      <c r="F116" s="44">
        <v>0</v>
      </c>
    </row>
    <row r="117" spans="1:6" ht="12">
      <c r="A117" s="129" t="s">
        <v>267</v>
      </c>
      <c r="B117" s="111" t="s">
        <v>172</v>
      </c>
      <c r="C117" s="50">
        <f t="shared" si="7"/>
        <v>0</v>
      </c>
      <c r="D117" s="48">
        <v>0</v>
      </c>
      <c r="E117" s="39">
        <v>0</v>
      </c>
      <c r="F117" s="44">
        <v>0</v>
      </c>
    </row>
    <row r="118" spans="1:6" ht="12">
      <c r="A118" s="129" t="s">
        <v>295</v>
      </c>
      <c r="B118" s="111" t="s">
        <v>173</v>
      </c>
      <c r="C118" s="50">
        <f t="shared" si="7"/>
        <v>0</v>
      </c>
      <c r="D118" s="48">
        <v>0</v>
      </c>
      <c r="E118" s="39">
        <v>0</v>
      </c>
      <c r="F118" s="44">
        <v>0</v>
      </c>
    </row>
    <row r="119" spans="1:6" ht="12">
      <c r="A119" s="129" t="s">
        <v>296</v>
      </c>
      <c r="B119" s="111" t="s">
        <v>174</v>
      </c>
      <c r="C119" s="50">
        <f t="shared" si="7"/>
        <v>0</v>
      </c>
      <c r="D119" s="48">
        <v>0</v>
      </c>
      <c r="E119" s="39">
        <v>0</v>
      </c>
      <c r="F119" s="44">
        <v>0</v>
      </c>
    </row>
    <row r="120" spans="1:6" ht="12">
      <c r="A120" s="129" t="s">
        <v>297</v>
      </c>
      <c r="B120" s="111" t="s">
        <v>175</v>
      </c>
      <c r="C120" s="50">
        <f t="shared" si="7"/>
        <v>0</v>
      </c>
      <c r="D120" s="48">
        <v>0</v>
      </c>
      <c r="E120" s="39">
        <v>0</v>
      </c>
      <c r="F120" s="44">
        <v>0</v>
      </c>
    </row>
    <row r="121" spans="1:6" ht="12">
      <c r="A121" s="129" t="s">
        <v>298</v>
      </c>
      <c r="B121" s="111" t="s">
        <v>176</v>
      </c>
      <c r="C121" s="50">
        <f t="shared" si="7"/>
        <v>0</v>
      </c>
      <c r="D121" s="48">
        <v>0</v>
      </c>
      <c r="E121" s="39">
        <v>0</v>
      </c>
      <c r="F121" s="44">
        <v>0</v>
      </c>
    </row>
    <row r="122" spans="1:6" ht="12.75" thickBot="1">
      <c r="A122" s="122" t="s">
        <v>299</v>
      </c>
      <c r="B122" s="112" t="s">
        <v>177</v>
      </c>
      <c r="C122" s="53">
        <f t="shared" si="7"/>
        <v>0</v>
      </c>
      <c r="D122" s="54">
        <v>0</v>
      </c>
      <c r="E122" s="55">
        <v>0</v>
      </c>
      <c r="F122" s="56">
        <v>0</v>
      </c>
    </row>
    <row r="123" spans="1:6" s="29" customFormat="1" ht="12.75" thickBot="1">
      <c r="A123" s="127" t="s">
        <v>15</v>
      </c>
      <c r="B123" s="108" t="s">
        <v>356</v>
      </c>
      <c r="C123" s="71">
        <f>+C124+C125+C126+C127+C128+C129+C131+C132+C133+C134+C135+C136</f>
        <v>0</v>
      </c>
      <c r="D123" s="60">
        <f>+D124+D125+D126+D127+D128+D129+D131+D132+D133+D134+D135+D136</f>
        <v>0</v>
      </c>
      <c r="E123" s="61">
        <f>+E124+E125+E126+E127+E128+E129+E131+E132+E133+E134+E135+E136</f>
        <v>0</v>
      </c>
      <c r="F123" s="62">
        <f>+F124+F125+F126+F127+F128+F129+F131+F132+F133+F134+F135+F136</f>
        <v>0</v>
      </c>
    </row>
    <row r="124" spans="1:6" ht="12">
      <c r="A124" s="128" t="s">
        <v>115</v>
      </c>
      <c r="B124" s="109" t="s">
        <v>178</v>
      </c>
      <c r="C124" s="63">
        <f aca="true" t="shared" si="8" ref="C124:C135">+D124+E124+F124</f>
        <v>0</v>
      </c>
      <c r="D124" s="68">
        <v>0</v>
      </c>
      <c r="E124" s="38">
        <v>0</v>
      </c>
      <c r="F124" s="69">
        <v>0</v>
      </c>
    </row>
    <row r="125" spans="1:6" ht="12">
      <c r="A125" s="129" t="s">
        <v>116</v>
      </c>
      <c r="B125" s="111" t="s">
        <v>179</v>
      </c>
      <c r="C125" s="50">
        <f t="shared" si="8"/>
        <v>0</v>
      </c>
      <c r="D125" s="48">
        <v>0</v>
      </c>
      <c r="E125" s="39">
        <v>0</v>
      </c>
      <c r="F125" s="44">
        <v>0</v>
      </c>
    </row>
    <row r="126" spans="1:6" ht="12">
      <c r="A126" s="129" t="s">
        <v>220</v>
      </c>
      <c r="B126" s="111" t="s">
        <v>180</v>
      </c>
      <c r="C126" s="50">
        <f t="shared" si="8"/>
        <v>0</v>
      </c>
      <c r="D126" s="48">
        <v>0</v>
      </c>
      <c r="E126" s="39">
        <v>0</v>
      </c>
      <c r="F126" s="44">
        <v>0</v>
      </c>
    </row>
    <row r="127" spans="1:6" ht="12">
      <c r="A127" s="129" t="s">
        <v>221</v>
      </c>
      <c r="B127" s="111" t="s">
        <v>181</v>
      </c>
      <c r="C127" s="50">
        <f t="shared" si="8"/>
        <v>0</v>
      </c>
      <c r="D127" s="48">
        <v>0</v>
      </c>
      <c r="E127" s="39">
        <v>0</v>
      </c>
      <c r="F127" s="44">
        <v>0</v>
      </c>
    </row>
    <row r="128" spans="1:6" ht="12">
      <c r="A128" s="129" t="s">
        <v>222</v>
      </c>
      <c r="B128" s="111" t="s">
        <v>182</v>
      </c>
      <c r="C128" s="50">
        <f t="shared" si="8"/>
        <v>0</v>
      </c>
      <c r="D128" s="48">
        <v>0</v>
      </c>
      <c r="E128" s="39">
        <v>0</v>
      </c>
      <c r="F128" s="44">
        <v>0</v>
      </c>
    </row>
    <row r="129" spans="1:6" ht="12">
      <c r="A129" s="129" t="s">
        <v>300</v>
      </c>
      <c r="B129" s="111" t="s">
        <v>183</v>
      </c>
      <c r="C129" s="50">
        <f t="shared" si="8"/>
        <v>0</v>
      </c>
      <c r="D129" s="48">
        <v>0</v>
      </c>
      <c r="E129" s="39">
        <v>0</v>
      </c>
      <c r="F129" s="44">
        <v>0</v>
      </c>
    </row>
    <row r="130" spans="1:6" s="41" customFormat="1" ht="12">
      <c r="A130" s="133" t="s">
        <v>392</v>
      </c>
      <c r="B130" s="106" t="s">
        <v>393</v>
      </c>
      <c r="C130" s="85">
        <f t="shared" si="8"/>
        <v>0</v>
      </c>
      <c r="D130" s="83">
        <v>0</v>
      </c>
      <c r="E130" s="81">
        <v>0</v>
      </c>
      <c r="F130" s="82">
        <v>0</v>
      </c>
    </row>
    <row r="131" spans="1:6" ht="12">
      <c r="A131" s="129" t="s">
        <v>301</v>
      </c>
      <c r="B131" s="111" t="s">
        <v>184</v>
      </c>
      <c r="C131" s="50">
        <f t="shared" si="8"/>
        <v>0</v>
      </c>
      <c r="D131" s="48">
        <v>0</v>
      </c>
      <c r="E131" s="39">
        <v>0</v>
      </c>
      <c r="F131" s="44">
        <v>0</v>
      </c>
    </row>
    <row r="132" spans="1:6" ht="12">
      <c r="A132" s="129" t="s">
        <v>302</v>
      </c>
      <c r="B132" s="111" t="s">
        <v>185</v>
      </c>
      <c r="C132" s="50">
        <f t="shared" si="8"/>
        <v>0</v>
      </c>
      <c r="D132" s="48">
        <v>0</v>
      </c>
      <c r="E132" s="39">
        <v>0</v>
      </c>
      <c r="F132" s="44">
        <v>0</v>
      </c>
    </row>
    <row r="133" spans="1:6" ht="12">
      <c r="A133" s="129" t="s">
        <v>303</v>
      </c>
      <c r="B133" s="111" t="s">
        <v>186</v>
      </c>
      <c r="C133" s="50">
        <f t="shared" si="8"/>
        <v>0</v>
      </c>
      <c r="D133" s="48">
        <v>0</v>
      </c>
      <c r="E133" s="39">
        <v>0</v>
      </c>
      <c r="F133" s="44">
        <v>0</v>
      </c>
    </row>
    <row r="134" spans="1:6" ht="12">
      <c r="A134" s="129" t="s">
        <v>304</v>
      </c>
      <c r="B134" s="111" t="s">
        <v>187</v>
      </c>
      <c r="C134" s="50">
        <f t="shared" si="8"/>
        <v>0</v>
      </c>
      <c r="D134" s="48">
        <v>0</v>
      </c>
      <c r="E134" s="39">
        <v>0</v>
      </c>
      <c r="F134" s="44">
        <v>0</v>
      </c>
    </row>
    <row r="135" spans="1:6" ht="12">
      <c r="A135" s="129" t="s">
        <v>305</v>
      </c>
      <c r="B135" s="111" t="s">
        <v>188</v>
      </c>
      <c r="C135" s="50">
        <f t="shared" si="8"/>
        <v>0</v>
      </c>
      <c r="D135" s="48">
        <v>0</v>
      </c>
      <c r="E135" s="39">
        <v>0</v>
      </c>
      <c r="F135" s="44">
        <v>0</v>
      </c>
    </row>
    <row r="136" spans="1:6" ht="12">
      <c r="A136" s="122" t="s">
        <v>306</v>
      </c>
      <c r="B136" s="112" t="s">
        <v>390</v>
      </c>
      <c r="C136" s="53">
        <f>+C137+C138</f>
        <v>0</v>
      </c>
      <c r="D136" s="54">
        <f>+D137+D138</f>
        <v>0</v>
      </c>
      <c r="E136" s="55">
        <f>+E137+E138</f>
        <v>0</v>
      </c>
      <c r="F136" s="56">
        <f>+F137+F138</f>
        <v>0</v>
      </c>
    </row>
    <row r="137" spans="1:6" s="41" customFormat="1" ht="12">
      <c r="A137" s="133" t="s">
        <v>387</v>
      </c>
      <c r="B137" s="118" t="s">
        <v>389</v>
      </c>
      <c r="C137" s="85">
        <f>+D137+E137+F137</f>
        <v>0</v>
      </c>
      <c r="D137" s="83">
        <v>0</v>
      </c>
      <c r="E137" s="81">
        <v>0</v>
      </c>
      <c r="F137" s="82">
        <v>0</v>
      </c>
    </row>
    <row r="138" spans="1:6" s="41" customFormat="1" ht="12.75" thickBot="1">
      <c r="A138" s="133" t="s">
        <v>388</v>
      </c>
      <c r="B138" s="118" t="s">
        <v>397</v>
      </c>
      <c r="C138" s="85">
        <f>+D138+E138+F138</f>
        <v>0</v>
      </c>
      <c r="D138" s="83">
        <v>0</v>
      </c>
      <c r="E138" s="81">
        <v>0</v>
      </c>
      <c r="F138" s="82">
        <v>0</v>
      </c>
    </row>
    <row r="139" spans="1:6" s="29" customFormat="1" ht="12.75" thickBot="1">
      <c r="A139" s="127" t="s">
        <v>14</v>
      </c>
      <c r="B139" s="113" t="s">
        <v>357</v>
      </c>
      <c r="C139" s="71">
        <f>+C140+C149+C155</f>
        <v>39000</v>
      </c>
      <c r="D139" s="60">
        <f>+D140+D149+D155</f>
        <v>39000</v>
      </c>
      <c r="E139" s="61">
        <f>+E140+E149+E155</f>
        <v>0</v>
      </c>
      <c r="F139" s="62">
        <f>+F140+F149+F155</f>
        <v>0</v>
      </c>
    </row>
    <row r="140" spans="1:6" s="29" customFormat="1" ht="12.75" thickBot="1">
      <c r="A140" s="127" t="s">
        <v>13</v>
      </c>
      <c r="B140" s="108" t="s">
        <v>358</v>
      </c>
      <c r="C140" s="71">
        <f>+C142+C143+C144+C145+C146+C147+C148</f>
        <v>24000</v>
      </c>
      <c r="D140" s="60">
        <f>+D142+D143+D144+D145+D146+D147+D148</f>
        <v>24000</v>
      </c>
      <c r="E140" s="61">
        <f>+E142+E143+E144+E145+E146+E147+E148</f>
        <v>0</v>
      </c>
      <c r="F140" s="62">
        <f>+F142+F143+F144+F145+F146+F147+F148</f>
        <v>0</v>
      </c>
    </row>
    <row r="141" spans="1:6" s="73" customFormat="1" ht="12">
      <c r="A141" s="140" t="s">
        <v>398</v>
      </c>
      <c r="B141" s="141" t="s">
        <v>399</v>
      </c>
      <c r="C141" s="142">
        <f aca="true" t="shared" si="9" ref="C141:C148">+D141+E141+F141</f>
        <v>0</v>
      </c>
      <c r="D141" s="143">
        <v>0</v>
      </c>
      <c r="E141" s="144">
        <v>0</v>
      </c>
      <c r="F141" s="145">
        <v>0</v>
      </c>
    </row>
    <row r="142" spans="1:6" ht="12">
      <c r="A142" s="128" t="s">
        <v>94</v>
      </c>
      <c r="B142" s="109" t="s">
        <v>189</v>
      </c>
      <c r="C142" s="63">
        <f t="shared" si="9"/>
        <v>0</v>
      </c>
      <c r="D142" s="68">
        <v>0</v>
      </c>
      <c r="E142" s="38">
        <v>0</v>
      </c>
      <c r="F142" s="69">
        <v>0</v>
      </c>
    </row>
    <row r="143" spans="1:6" ht="12">
      <c r="A143" s="129" t="s">
        <v>95</v>
      </c>
      <c r="B143" s="111" t="s">
        <v>190</v>
      </c>
      <c r="C143" s="50">
        <f t="shared" si="9"/>
        <v>0</v>
      </c>
      <c r="D143" s="48">
        <v>0</v>
      </c>
      <c r="E143" s="39">
        <v>0</v>
      </c>
      <c r="F143" s="44">
        <v>0</v>
      </c>
    </row>
    <row r="144" spans="1:6" ht="12">
      <c r="A144" s="129" t="s">
        <v>96</v>
      </c>
      <c r="B144" s="111" t="s">
        <v>191</v>
      </c>
      <c r="C144" s="50">
        <f t="shared" si="9"/>
        <v>0</v>
      </c>
      <c r="D144" s="48">
        <v>0</v>
      </c>
      <c r="E144" s="39">
        <v>0</v>
      </c>
      <c r="F144" s="44">
        <v>0</v>
      </c>
    </row>
    <row r="145" spans="1:6" ht="12">
      <c r="A145" s="129" t="s">
        <v>268</v>
      </c>
      <c r="B145" s="111" t="s">
        <v>192</v>
      </c>
      <c r="C145" s="50">
        <f t="shared" si="9"/>
        <v>18898</v>
      </c>
      <c r="D145" s="48">
        <v>18898</v>
      </c>
      <c r="E145" s="39">
        <v>0</v>
      </c>
      <c r="F145" s="44">
        <v>0</v>
      </c>
    </row>
    <row r="146" spans="1:6" ht="12">
      <c r="A146" s="129" t="s">
        <v>269</v>
      </c>
      <c r="B146" s="111" t="s">
        <v>193</v>
      </c>
      <c r="C146" s="50">
        <f t="shared" si="9"/>
        <v>0</v>
      </c>
      <c r="D146" s="48">
        <v>0</v>
      </c>
      <c r="E146" s="39">
        <v>0</v>
      </c>
      <c r="F146" s="44">
        <v>0</v>
      </c>
    </row>
    <row r="147" spans="1:6" ht="12">
      <c r="A147" s="129" t="s">
        <v>307</v>
      </c>
      <c r="B147" s="111" t="s">
        <v>194</v>
      </c>
      <c r="C147" s="50">
        <f t="shared" si="9"/>
        <v>0</v>
      </c>
      <c r="D147" s="48">
        <v>0</v>
      </c>
      <c r="E147" s="39">
        <v>0</v>
      </c>
      <c r="F147" s="44">
        <v>0</v>
      </c>
    </row>
    <row r="148" spans="1:6" ht="12.75" thickBot="1">
      <c r="A148" s="122" t="s">
        <v>308</v>
      </c>
      <c r="B148" s="112" t="s">
        <v>195</v>
      </c>
      <c r="C148" s="53">
        <f t="shared" si="9"/>
        <v>5102</v>
      </c>
      <c r="D148" s="54">
        <v>5102</v>
      </c>
      <c r="E148" s="55">
        <v>0</v>
      </c>
      <c r="F148" s="56">
        <v>0</v>
      </c>
    </row>
    <row r="149" spans="1:6" s="29" customFormat="1" ht="12.75" thickBot="1">
      <c r="A149" s="127" t="s">
        <v>12</v>
      </c>
      <c r="B149" s="108" t="s">
        <v>359</v>
      </c>
      <c r="C149" s="71">
        <f>+C151+C152+C153+C154</f>
        <v>15000</v>
      </c>
      <c r="D149" s="60">
        <f>+D151+D152+D153+D154</f>
        <v>15000</v>
      </c>
      <c r="E149" s="61">
        <f>+E151+E152+E153+E154</f>
        <v>0</v>
      </c>
      <c r="F149" s="62">
        <f>+F151+F152+F153+F154</f>
        <v>0</v>
      </c>
    </row>
    <row r="150" spans="1:6" s="73" customFormat="1" ht="12">
      <c r="A150" s="140" t="s">
        <v>401</v>
      </c>
      <c r="B150" s="141" t="s">
        <v>402</v>
      </c>
      <c r="C150" s="142">
        <f>+D150+E150+F150</f>
        <v>0</v>
      </c>
      <c r="D150" s="143">
        <v>0</v>
      </c>
      <c r="E150" s="144">
        <v>0</v>
      </c>
      <c r="F150" s="145">
        <v>0</v>
      </c>
    </row>
    <row r="151" spans="1:6" ht="12">
      <c r="A151" s="128" t="s">
        <v>97</v>
      </c>
      <c r="B151" s="109" t="s">
        <v>196</v>
      </c>
      <c r="C151" s="63">
        <f>+D151+E151+F151</f>
        <v>11811</v>
      </c>
      <c r="D151" s="68">
        <v>11811</v>
      </c>
      <c r="E151" s="38">
        <v>0</v>
      </c>
      <c r="F151" s="69">
        <v>0</v>
      </c>
    </row>
    <row r="152" spans="1:6" ht="12">
      <c r="A152" s="129" t="s">
        <v>98</v>
      </c>
      <c r="B152" s="111" t="s">
        <v>197</v>
      </c>
      <c r="C152" s="50">
        <f>+D152+E152+F152</f>
        <v>0</v>
      </c>
      <c r="D152" s="48">
        <v>0</v>
      </c>
      <c r="E152" s="39">
        <v>0</v>
      </c>
      <c r="F152" s="44">
        <v>0</v>
      </c>
    </row>
    <row r="153" spans="1:6" ht="12">
      <c r="A153" s="129" t="s">
        <v>99</v>
      </c>
      <c r="B153" s="111" t="s">
        <v>198</v>
      </c>
      <c r="C153" s="50">
        <f>+D153+E153+F153</f>
        <v>0</v>
      </c>
      <c r="D153" s="48">
        <v>0</v>
      </c>
      <c r="E153" s="39">
        <v>0</v>
      </c>
      <c r="F153" s="44">
        <v>0</v>
      </c>
    </row>
    <row r="154" spans="1:6" ht="12.75" thickBot="1">
      <c r="A154" s="122" t="s">
        <v>100</v>
      </c>
      <c r="B154" s="112" t="s">
        <v>199</v>
      </c>
      <c r="C154" s="53">
        <f>+D154+E154+F154</f>
        <v>3189</v>
      </c>
      <c r="D154" s="54">
        <v>3189</v>
      </c>
      <c r="E154" s="55">
        <v>0</v>
      </c>
      <c r="F154" s="56">
        <v>0</v>
      </c>
    </row>
    <row r="155" spans="1:6" s="29" customFormat="1" ht="12.75" thickBot="1">
      <c r="A155" s="127" t="s">
        <v>11</v>
      </c>
      <c r="B155" s="108" t="s">
        <v>360</v>
      </c>
      <c r="C155" s="71">
        <f>+C156+C157+C158+C159+C161+C162+C163+C164</f>
        <v>0</v>
      </c>
      <c r="D155" s="60">
        <f>+D156+D157+D158+D159+D161+D162+D163+D164</f>
        <v>0</v>
      </c>
      <c r="E155" s="61">
        <f>+E156+E157+E158+E159+E161+E162+E163+E164</f>
        <v>0</v>
      </c>
      <c r="F155" s="62">
        <f>+F156+F157+F158+F159+F161+F162+F163+F164</f>
        <v>0</v>
      </c>
    </row>
    <row r="156" spans="1:6" ht="12">
      <c r="A156" s="128" t="s">
        <v>309</v>
      </c>
      <c r="B156" s="109" t="s">
        <v>200</v>
      </c>
      <c r="C156" s="63">
        <f aca="true" t="shared" si="10" ref="C156:C164">+D156+E156+F156</f>
        <v>0</v>
      </c>
      <c r="D156" s="68">
        <v>0</v>
      </c>
      <c r="E156" s="38">
        <v>0</v>
      </c>
      <c r="F156" s="69">
        <v>0</v>
      </c>
    </row>
    <row r="157" spans="1:6" ht="12">
      <c r="A157" s="129" t="s">
        <v>310</v>
      </c>
      <c r="B157" s="111" t="s">
        <v>201</v>
      </c>
      <c r="C157" s="50">
        <f t="shared" si="10"/>
        <v>0</v>
      </c>
      <c r="D157" s="48">
        <v>0</v>
      </c>
      <c r="E157" s="39">
        <v>0</v>
      </c>
      <c r="F157" s="44">
        <v>0</v>
      </c>
    </row>
    <row r="158" spans="1:6" ht="12">
      <c r="A158" s="129" t="s">
        <v>311</v>
      </c>
      <c r="B158" s="111" t="s">
        <v>202</v>
      </c>
      <c r="C158" s="50">
        <f t="shared" si="10"/>
        <v>0</v>
      </c>
      <c r="D158" s="48">
        <v>0</v>
      </c>
      <c r="E158" s="39">
        <v>0</v>
      </c>
      <c r="F158" s="44">
        <v>0</v>
      </c>
    </row>
    <row r="159" spans="1:6" ht="12">
      <c r="A159" s="129" t="s">
        <v>312</v>
      </c>
      <c r="B159" s="111" t="s">
        <v>203</v>
      </c>
      <c r="C159" s="50">
        <f t="shared" si="10"/>
        <v>0</v>
      </c>
      <c r="D159" s="48">
        <v>0</v>
      </c>
      <c r="E159" s="39">
        <v>0</v>
      </c>
      <c r="F159" s="44">
        <v>0</v>
      </c>
    </row>
    <row r="160" spans="1:6" s="41" customFormat="1" ht="12">
      <c r="A160" s="133" t="s">
        <v>395</v>
      </c>
      <c r="B160" s="106" t="s">
        <v>396</v>
      </c>
      <c r="C160" s="85">
        <f t="shared" si="10"/>
        <v>0</v>
      </c>
      <c r="D160" s="83">
        <v>0</v>
      </c>
      <c r="E160" s="81">
        <v>0</v>
      </c>
      <c r="F160" s="82">
        <v>0</v>
      </c>
    </row>
    <row r="161" spans="1:6" ht="12">
      <c r="A161" s="129" t="s">
        <v>313</v>
      </c>
      <c r="B161" s="111" t="s">
        <v>204</v>
      </c>
      <c r="C161" s="50">
        <f t="shared" si="10"/>
        <v>0</v>
      </c>
      <c r="D161" s="48">
        <v>0</v>
      </c>
      <c r="E161" s="39">
        <v>0</v>
      </c>
      <c r="F161" s="44">
        <v>0</v>
      </c>
    </row>
    <row r="162" spans="1:6" ht="12">
      <c r="A162" s="129" t="s">
        <v>314</v>
      </c>
      <c r="B162" s="111" t="s">
        <v>205</v>
      </c>
      <c r="C162" s="50">
        <f t="shared" si="10"/>
        <v>0</v>
      </c>
      <c r="D162" s="48">
        <v>0</v>
      </c>
      <c r="E162" s="39">
        <v>0</v>
      </c>
      <c r="F162" s="44">
        <v>0</v>
      </c>
    </row>
    <row r="163" spans="1:6" ht="12">
      <c r="A163" s="129" t="s">
        <v>315</v>
      </c>
      <c r="B163" s="111" t="s">
        <v>206</v>
      </c>
      <c r="C163" s="50">
        <f t="shared" si="10"/>
        <v>0</v>
      </c>
      <c r="D163" s="48">
        <v>0</v>
      </c>
      <c r="E163" s="39">
        <v>0</v>
      </c>
      <c r="F163" s="44">
        <v>0</v>
      </c>
    </row>
    <row r="164" spans="1:6" ht="12.75" thickBot="1">
      <c r="A164" s="122" t="s">
        <v>316</v>
      </c>
      <c r="B164" s="112" t="s">
        <v>207</v>
      </c>
      <c r="C164" s="53">
        <f t="shared" si="10"/>
        <v>0</v>
      </c>
      <c r="D164" s="54">
        <v>0</v>
      </c>
      <c r="E164" s="55">
        <v>0</v>
      </c>
      <c r="F164" s="56">
        <v>0</v>
      </c>
    </row>
    <row r="165" spans="1:6" s="29" customFormat="1" ht="12.75" thickBot="1">
      <c r="A165" s="127" t="s">
        <v>10</v>
      </c>
      <c r="B165" s="113" t="s">
        <v>361</v>
      </c>
      <c r="C165" s="71">
        <f>+C100+C139</f>
        <v>336367</v>
      </c>
      <c r="D165" s="60">
        <f>+D100+D139</f>
        <v>312113</v>
      </c>
      <c r="E165" s="61">
        <f>+E100+E139</f>
        <v>24254</v>
      </c>
      <c r="F165" s="62">
        <f>+F100+F139</f>
        <v>0</v>
      </c>
    </row>
    <row r="166" spans="1:6" s="29" customFormat="1" ht="12.75" thickBot="1">
      <c r="A166" s="127" t="s">
        <v>9</v>
      </c>
      <c r="B166" s="114" t="s">
        <v>362</v>
      </c>
      <c r="C166" s="71">
        <f>+C167</f>
        <v>0</v>
      </c>
      <c r="D166" s="60">
        <f>+D167</f>
        <v>0</v>
      </c>
      <c r="E166" s="61">
        <f>+E167</f>
        <v>0</v>
      </c>
      <c r="F166" s="62">
        <f>+F167</f>
        <v>0</v>
      </c>
    </row>
    <row r="167" spans="1:6" s="29" customFormat="1" ht="12.75" thickBot="1">
      <c r="A167" s="127" t="s">
        <v>73</v>
      </c>
      <c r="B167" s="108" t="s">
        <v>363</v>
      </c>
      <c r="C167" s="71">
        <f>+C168+C177+C178</f>
        <v>0</v>
      </c>
      <c r="D167" s="60">
        <f>+D168+D177+D178</f>
        <v>0</v>
      </c>
      <c r="E167" s="61">
        <f>+E168+E177+E178</f>
        <v>0</v>
      </c>
      <c r="F167" s="62">
        <f>+F168+F177+F178</f>
        <v>0</v>
      </c>
    </row>
    <row r="168" spans="1:6" ht="12">
      <c r="A168" s="128" t="s">
        <v>103</v>
      </c>
      <c r="B168" s="109" t="s">
        <v>447</v>
      </c>
      <c r="C168" s="63">
        <f>+C169+C170+C171+C172+C173+C174+C175+C176</f>
        <v>0</v>
      </c>
      <c r="D168" s="68">
        <v>0</v>
      </c>
      <c r="E168" s="38">
        <v>0</v>
      </c>
      <c r="F168" s="69">
        <v>0</v>
      </c>
    </row>
    <row r="169" spans="1:6" s="41" customFormat="1" ht="12">
      <c r="A169" s="130" t="s">
        <v>243</v>
      </c>
      <c r="B169" s="110" t="s">
        <v>208</v>
      </c>
      <c r="C169" s="51">
        <f aca="true" t="shared" si="11" ref="C169:C178">+D169+E169+F169</f>
        <v>0</v>
      </c>
      <c r="D169" s="47">
        <v>0</v>
      </c>
      <c r="E169" s="40">
        <v>0</v>
      </c>
      <c r="F169" s="43">
        <v>0</v>
      </c>
    </row>
    <row r="170" spans="1:6" s="41" customFormat="1" ht="12">
      <c r="A170" s="130" t="s">
        <v>244</v>
      </c>
      <c r="B170" s="110" t="s">
        <v>209</v>
      </c>
      <c r="C170" s="51">
        <f t="shared" si="11"/>
        <v>0</v>
      </c>
      <c r="D170" s="47">
        <v>0</v>
      </c>
      <c r="E170" s="40">
        <v>0</v>
      </c>
      <c r="F170" s="43">
        <v>0</v>
      </c>
    </row>
    <row r="171" spans="1:6" s="41" customFormat="1" ht="12">
      <c r="A171" s="130" t="s">
        <v>245</v>
      </c>
      <c r="B171" s="110" t="s">
        <v>210</v>
      </c>
      <c r="C171" s="51">
        <f t="shared" si="11"/>
        <v>0</v>
      </c>
      <c r="D171" s="47">
        <v>0</v>
      </c>
      <c r="E171" s="40">
        <v>0</v>
      </c>
      <c r="F171" s="43">
        <v>0</v>
      </c>
    </row>
    <row r="172" spans="1:6" s="41" customFormat="1" ht="12">
      <c r="A172" s="130" t="s">
        <v>246</v>
      </c>
      <c r="B172" s="110" t="s">
        <v>211</v>
      </c>
      <c r="C172" s="51">
        <f t="shared" si="11"/>
        <v>0</v>
      </c>
      <c r="D172" s="47">
        <v>0</v>
      </c>
      <c r="E172" s="40">
        <v>0</v>
      </c>
      <c r="F172" s="43">
        <v>0</v>
      </c>
    </row>
    <row r="173" spans="1:6" s="175" customFormat="1" ht="12">
      <c r="A173" s="157" t="s">
        <v>247</v>
      </c>
      <c r="B173" s="158" t="s">
        <v>212</v>
      </c>
      <c r="C173" s="168">
        <f t="shared" si="11"/>
        <v>0</v>
      </c>
      <c r="D173" s="1043">
        <v>0</v>
      </c>
      <c r="E173" s="1044">
        <v>0</v>
      </c>
      <c r="F173" s="1045">
        <v>0</v>
      </c>
    </row>
    <row r="174" spans="1:6" s="175" customFormat="1" ht="12">
      <c r="A174" s="157" t="s">
        <v>248</v>
      </c>
      <c r="B174" s="158" t="s">
        <v>217</v>
      </c>
      <c r="C174" s="168">
        <f t="shared" si="11"/>
        <v>0</v>
      </c>
      <c r="D174" s="1043">
        <v>0</v>
      </c>
      <c r="E174" s="1044">
        <v>0</v>
      </c>
      <c r="F174" s="1045">
        <v>0</v>
      </c>
    </row>
    <row r="175" spans="1:6" s="175" customFormat="1" ht="12">
      <c r="A175" s="157" t="s">
        <v>249</v>
      </c>
      <c r="B175" s="158" t="s">
        <v>213</v>
      </c>
      <c r="C175" s="168">
        <f t="shared" si="11"/>
        <v>0</v>
      </c>
      <c r="D175" s="1043">
        <v>0</v>
      </c>
      <c r="E175" s="1044">
        <v>0</v>
      </c>
      <c r="F175" s="1045">
        <v>0</v>
      </c>
    </row>
    <row r="176" spans="1:6" s="175" customFormat="1" ht="12">
      <c r="A176" s="157" t="s">
        <v>250</v>
      </c>
      <c r="B176" s="158" t="s">
        <v>214</v>
      </c>
      <c r="C176" s="168">
        <f t="shared" si="11"/>
        <v>0</v>
      </c>
      <c r="D176" s="1043">
        <v>0</v>
      </c>
      <c r="E176" s="1044">
        <v>0</v>
      </c>
      <c r="F176" s="1045">
        <v>0</v>
      </c>
    </row>
    <row r="177" spans="1:6" s="178" customFormat="1" ht="12">
      <c r="A177" s="176" t="s">
        <v>104</v>
      </c>
      <c r="B177" s="177" t="s">
        <v>215</v>
      </c>
      <c r="C177" s="159">
        <f t="shared" si="11"/>
        <v>0</v>
      </c>
      <c r="D177" s="1046">
        <v>0</v>
      </c>
      <c r="E177" s="1047">
        <v>0</v>
      </c>
      <c r="F177" s="1048">
        <v>0</v>
      </c>
    </row>
    <row r="178" spans="1:6" s="178" customFormat="1" ht="12.75" thickBot="1">
      <c r="A178" s="179" t="s">
        <v>105</v>
      </c>
      <c r="B178" s="180" t="s">
        <v>216</v>
      </c>
      <c r="C178" s="181">
        <f t="shared" si="11"/>
        <v>0</v>
      </c>
      <c r="D178" s="1049">
        <v>0</v>
      </c>
      <c r="E178" s="1050">
        <v>0</v>
      </c>
      <c r="F178" s="1051">
        <v>0</v>
      </c>
    </row>
    <row r="179" spans="1:6" s="182" customFormat="1" ht="12.75" thickBot="1">
      <c r="A179" s="160" t="s">
        <v>72</v>
      </c>
      <c r="B179" s="167" t="s">
        <v>364</v>
      </c>
      <c r="C179" s="162">
        <f>+C180</f>
        <v>0</v>
      </c>
      <c r="D179" s="163">
        <f>+D180</f>
        <v>0</v>
      </c>
      <c r="E179" s="164">
        <f>+E180</f>
        <v>0</v>
      </c>
      <c r="F179" s="165">
        <f>+F180</f>
        <v>0</v>
      </c>
    </row>
    <row r="180" spans="1:6" s="182" customFormat="1" ht="12.75" thickBot="1">
      <c r="A180" s="160" t="s">
        <v>71</v>
      </c>
      <c r="B180" s="166" t="s">
        <v>365</v>
      </c>
      <c r="C180" s="162">
        <f>+C181+C190+C191</f>
        <v>0</v>
      </c>
      <c r="D180" s="163">
        <f>+D181+D190+D191</f>
        <v>0</v>
      </c>
      <c r="E180" s="164">
        <f>+E181+E190+E191</f>
        <v>0</v>
      </c>
      <c r="F180" s="165">
        <f>+F181+F190+F191</f>
        <v>0</v>
      </c>
    </row>
    <row r="181" spans="1:6" s="178" customFormat="1" ht="12">
      <c r="A181" s="169" t="s">
        <v>106</v>
      </c>
      <c r="B181" s="170" t="s">
        <v>366</v>
      </c>
      <c r="C181" s="171">
        <f>+C182+C183+C184+C185+C186+C187+C188+C189</f>
        <v>0</v>
      </c>
      <c r="D181" s="172">
        <f>+D182+D183+D184+D185+D186+D187+D188+D189</f>
        <v>0</v>
      </c>
      <c r="E181" s="173">
        <f>+E182+E183+E184+E185+E186+E187+E188+E189</f>
        <v>0</v>
      </c>
      <c r="F181" s="174">
        <f>+F182+F183+F184+F185+F186+F187+F188+F189</f>
        <v>0</v>
      </c>
    </row>
    <row r="182" spans="1:6" s="175" customFormat="1" ht="12">
      <c r="A182" s="157" t="s">
        <v>251</v>
      </c>
      <c r="B182" s="158" t="s">
        <v>208</v>
      </c>
      <c r="C182" s="168">
        <f aca="true" t="shared" si="12" ref="C182:C191">+D182+E182+F182</f>
        <v>0</v>
      </c>
      <c r="D182" s="1043">
        <v>0</v>
      </c>
      <c r="E182" s="1044">
        <v>0</v>
      </c>
      <c r="F182" s="1045">
        <v>0</v>
      </c>
    </row>
    <row r="183" spans="1:6" s="175" customFormat="1" ht="12">
      <c r="A183" s="157" t="s">
        <v>252</v>
      </c>
      <c r="B183" s="158" t="s">
        <v>209</v>
      </c>
      <c r="C183" s="168">
        <f t="shared" si="12"/>
        <v>0</v>
      </c>
      <c r="D183" s="1043">
        <v>0</v>
      </c>
      <c r="E183" s="1044">
        <v>0</v>
      </c>
      <c r="F183" s="1045">
        <v>0</v>
      </c>
    </row>
    <row r="184" spans="1:6" s="175" customFormat="1" ht="12">
      <c r="A184" s="157" t="s">
        <v>253</v>
      </c>
      <c r="B184" s="158" t="s">
        <v>210</v>
      </c>
      <c r="C184" s="168">
        <f t="shared" si="12"/>
        <v>0</v>
      </c>
      <c r="D184" s="1043">
        <v>0</v>
      </c>
      <c r="E184" s="1044">
        <v>0</v>
      </c>
      <c r="F184" s="1045">
        <v>0</v>
      </c>
    </row>
    <row r="185" spans="1:6" s="175" customFormat="1" ht="12">
      <c r="A185" s="157" t="s">
        <v>254</v>
      </c>
      <c r="B185" s="158" t="s">
        <v>211</v>
      </c>
      <c r="C185" s="168">
        <f t="shared" si="12"/>
        <v>0</v>
      </c>
      <c r="D185" s="1043">
        <v>0</v>
      </c>
      <c r="E185" s="1044">
        <v>0</v>
      </c>
      <c r="F185" s="1045">
        <v>0</v>
      </c>
    </row>
    <row r="186" spans="1:6" s="175" customFormat="1" ht="12">
      <c r="A186" s="157" t="s">
        <v>255</v>
      </c>
      <c r="B186" s="158" t="s">
        <v>212</v>
      </c>
      <c r="C186" s="168">
        <f t="shared" si="12"/>
        <v>0</v>
      </c>
      <c r="D186" s="1043">
        <v>0</v>
      </c>
      <c r="E186" s="1044">
        <v>0</v>
      </c>
      <c r="F186" s="1045">
        <v>0</v>
      </c>
    </row>
    <row r="187" spans="1:6" s="175" customFormat="1" ht="12">
      <c r="A187" s="157" t="s">
        <v>256</v>
      </c>
      <c r="B187" s="158" t="s">
        <v>217</v>
      </c>
      <c r="C187" s="168">
        <f t="shared" si="12"/>
        <v>0</v>
      </c>
      <c r="D187" s="1043">
        <v>0</v>
      </c>
      <c r="E187" s="1044">
        <v>0</v>
      </c>
      <c r="F187" s="1045">
        <v>0</v>
      </c>
    </row>
    <row r="188" spans="1:6" s="41" customFormat="1" ht="12">
      <c r="A188" s="130" t="s">
        <v>257</v>
      </c>
      <c r="B188" s="110" t="s">
        <v>213</v>
      </c>
      <c r="C188" s="51">
        <f t="shared" si="12"/>
        <v>0</v>
      </c>
      <c r="D188" s="47">
        <v>0</v>
      </c>
      <c r="E188" s="40">
        <v>0</v>
      </c>
      <c r="F188" s="43">
        <v>0</v>
      </c>
    </row>
    <row r="189" spans="1:6" s="41" customFormat="1" ht="12">
      <c r="A189" s="130" t="s">
        <v>258</v>
      </c>
      <c r="B189" s="110" t="s">
        <v>214</v>
      </c>
      <c r="C189" s="51">
        <f t="shared" si="12"/>
        <v>0</v>
      </c>
      <c r="D189" s="47">
        <v>0</v>
      </c>
      <c r="E189" s="40">
        <v>0</v>
      </c>
      <c r="F189" s="43">
        <v>0</v>
      </c>
    </row>
    <row r="190" spans="1:6" ht="12">
      <c r="A190" s="129" t="s">
        <v>107</v>
      </c>
      <c r="B190" s="111" t="s">
        <v>215</v>
      </c>
      <c r="C190" s="50">
        <f t="shared" si="12"/>
        <v>0</v>
      </c>
      <c r="D190" s="48">
        <v>0</v>
      </c>
      <c r="E190" s="39">
        <v>0</v>
      </c>
      <c r="F190" s="44">
        <v>0</v>
      </c>
    </row>
    <row r="191" spans="1:6" ht="12.75" thickBot="1">
      <c r="A191" s="122" t="s">
        <v>259</v>
      </c>
      <c r="B191" s="112" t="s">
        <v>216</v>
      </c>
      <c r="C191" s="53">
        <f t="shared" si="12"/>
        <v>0</v>
      </c>
      <c r="D191" s="54">
        <v>0</v>
      </c>
      <c r="E191" s="55">
        <v>0</v>
      </c>
      <c r="F191" s="56">
        <v>0</v>
      </c>
    </row>
    <row r="192" spans="1:6" s="29" customFormat="1" ht="12.75" thickBot="1">
      <c r="A192" s="127" t="s">
        <v>68</v>
      </c>
      <c r="B192" s="113" t="s">
        <v>367</v>
      </c>
      <c r="C192" s="71">
        <f>+C166+C179</f>
        <v>0</v>
      </c>
      <c r="D192" s="60">
        <f>+D166+D179</f>
        <v>0</v>
      </c>
      <c r="E192" s="61">
        <f>+E166+E179</f>
        <v>0</v>
      </c>
      <c r="F192" s="62">
        <f>+F166+F179</f>
        <v>0</v>
      </c>
    </row>
    <row r="193" spans="1:6" s="29" customFormat="1" ht="12.75" thickBot="1">
      <c r="A193" s="131" t="s">
        <v>67</v>
      </c>
      <c r="B193" s="115" t="s">
        <v>391</v>
      </c>
      <c r="C193" s="72">
        <f>+C165+C192</f>
        <v>336367</v>
      </c>
      <c r="D193" s="57">
        <f>+D165+D192</f>
        <v>312113</v>
      </c>
      <c r="E193" s="58">
        <f>+E165+E192</f>
        <v>24254</v>
      </c>
      <c r="F193" s="59">
        <f>+F165+F192</f>
        <v>0</v>
      </c>
    </row>
    <row r="196" spans="1:30" s="24" customFormat="1" ht="15.75">
      <c r="A196" s="1299" t="s">
        <v>117</v>
      </c>
      <c r="B196" s="1299"/>
      <c r="C196" s="1299"/>
      <c r="D196" s="1299"/>
      <c r="E196" s="1299"/>
      <c r="F196" s="1299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</row>
    <row r="197" spans="1:6" s="73" customFormat="1" ht="12.75" thickBot="1">
      <c r="A197" s="75" t="s">
        <v>320</v>
      </c>
      <c r="F197" s="74" t="s">
        <v>319</v>
      </c>
    </row>
    <row r="198" spans="1:6" s="29" customFormat="1" ht="12.75" thickBot="1">
      <c r="A198" s="127" t="s">
        <v>4</v>
      </c>
      <c r="B198" s="113" t="s">
        <v>368</v>
      </c>
      <c r="C198" s="71">
        <f>+C199+C200</f>
        <v>-300664</v>
      </c>
      <c r="D198" s="60">
        <f>+D199+D200</f>
        <v>-300664</v>
      </c>
      <c r="E198" s="61">
        <f>+E199+E200</f>
        <v>0</v>
      </c>
      <c r="F198" s="62">
        <f>+F199+F200</f>
        <v>0</v>
      </c>
    </row>
    <row r="199" spans="1:6" ht="12">
      <c r="A199" s="128" t="s">
        <v>109</v>
      </c>
      <c r="B199" s="116" t="s">
        <v>369</v>
      </c>
      <c r="C199" s="63">
        <f>+C10-C100</f>
        <v>-261664</v>
      </c>
      <c r="D199" s="68">
        <f>+D10-D100</f>
        <v>-261664</v>
      </c>
      <c r="E199" s="38">
        <f>+E10-E100</f>
        <v>0</v>
      </c>
      <c r="F199" s="69">
        <f>+F10-F100</f>
        <v>0</v>
      </c>
    </row>
    <row r="200" spans="1:6" ht="12.75" thickBot="1">
      <c r="A200" s="132" t="s">
        <v>110</v>
      </c>
      <c r="B200" s="117" t="s">
        <v>370</v>
      </c>
      <c r="C200" s="52">
        <f>+C47-C139</f>
        <v>-39000</v>
      </c>
      <c r="D200" s="78">
        <f>+D47-D139</f>
        <v>-39000</v>
      </c>
      <c r="E200" s="45">
        <f>+E47-E139</f>
        <v>0</v>
      </c>
      <c r="F200" s="77">
        <f>+F47-F139</f>
        <v>0</v>
      </c>
    </row>
    <row r="203" spans="1:30" s="24" customFormat="1" ht="15.75">
      <c r="A203" s="1299" t="s">
        <v>118</v>
      </c>
      <c r="B203" s="1299"/>
      <c r="C203" s="1299"/>
      <c r="D203" s="1299"/>
      <c r="E203" s="1299"/>
      <c r="F203" s="1299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</row>
    <row r="204" spans="1:6" s="73" customFormat="1" ht="12.75" thickBot="1">
      <c r="A204" s="75" t="s">
        <v>321</v>
      </c>
      <c r="F204" s="74" t="s">
        <v>319</v>
      </c>
    </row>
    <row r="205" spans="1:6" s="29" customFormat="1" ht="12.75" thickBot="1">
      <c r="A205" s="127" t="s">
        <v>4</v>
      </c>
      <c r="B205" s="113" t="s">
        <v>371</v>
      </c>
      <c r="C205" s="71">
        <f>+C206+C213</f>
        <v>300664</v>
      </c>
      <c r="D205" s="60">
        <f>+D206+D213</f>
        <v>300664</v>
      </c>
      <c r="E205" s="61">
        <f>+E206+E213</f>
        <v>0</v>
      </c>
      <c r="F205" s="62">
        <f>+F206+F213</f>
        <v>0</v>
      </c>
    </row>
    <row r="206" spans="1:6" s="29" customFormat="1" ht="12.75" thickBot="1">
      <c r="A206" s="127" t="s">
        <v>5</v>
      </c>
      <c r="B206" s="108" t="s">
        <v>372</v>
      </c>
      <c r="C206" s="71">
        <f>+C207-C210</f>
        <v>261664</v>
      </c>
      <c r="D206" s="60">
        <f>+D207-D210</f>
        <v>261664</v>
      </c>
      <c r="E206" s="61">
        <f>+E207-E210</f>
        <v>0</v>
      </c>
      <c r="F206" s="62">
        <f>+F207-F210</f>
        <v>0</v>
      </c>
    </row>
    <row r="207" spans="1:6" ht="12">
      <c r="A207" s="128" t="s">
        <v>82</v>
      </c>
      <c r="B207" s="109" t="s">
        <v>373</v>
      </c>
      <c r="C207" s="63">
        <f>+C208+C209</f>
        <v>261664</v>
      </c>
      <c r="D207" s="68">
        <f>+D208+D209</f>
        <v>261664</v>
      </c>
      <c r="E207" s="38">
        <f>+E208+E209</f>
        <v>0</v>
      </c>
      <c r="F207" s="69">
        <f>+F208+F209</f>
        <v>0</v>
      </c>
    </row>
    <row r="208" spans="1:6" s="41" customFormat="1" ht="12">
      <c r="A208" s="130" t="s">
        <v>228</v>
      </c>
      <c r="B208" s="110" t="s">
        <v>323</v>
      </c>
      <c r="C208" s="51">
        <f>+C71+C75</f>
        <v>0</v>
      </c>
      <c r="D208" s="47">
        <f>+D71+D75</f>
        <v>0</v>
      </c>
      <c r="E208" s="40">
        <f>+E71+E75</f>
        <v>0</v>
      </c>
      <c r="F208" s="43">
        <f>+F71+F75</f>
        <v>0</v>
      </c>
    </row>
    <row r="209" spans="1:6" s="41" customFormat="1" ht="12">
      <c r="A209" s="130" t="s">
        <v>229</v>
      </c>
      <c r="B209" s="110" t="s">
        <v>324</v>
      </c>
      <c r="C209" s="51">
        <f>+C69+C70+C72+C73+C74+C76</f>
        <v>261664</v>
      </c>
      <c r="D209" s="47">
        <f>+D69+D70+D72+D73+D74+D76</f>
        <v>261664</v>
      </c>
      <c r="E209" s="40">
        <f>+E69+E70+E72+E73+E74+E76</f>
        <v>0</v>
      </c>
      <c r="F209" s="43">
        <f>+F69+F70+F72+F73+F74+F76</f>
        <v>0</v>
      </c>
    </row>
    <row r="210" spans="1:6" ht="12">
      <c r="A210" s="129" t="s">
        <v>83</v>
      </c>
      <c r="B210" s="111" t="s">
        <v>374</v>
      </c>
      <c r="C210" s="50">
        <f>+C212</f>
        <v>0</v>
      </c>
      <c r="D210" s="48">
        <f>+D212</f>
        <v>0</v>
      </c>
      <c r="E210" s="39">
        <f>+E212</f>
        <v>0</v>
      </c>
      <c r="F210" s="44">
        <f>+F212</f>
        <v>0</v>
      </c>
    </row>
    <row r="211" spans="1:6" s="41" customFormat="1" ht="12">
      <c r="A211" s="130" t="s">
        <v>84</v>
      </c>
      <c r="B211" s="110" t="s">
        <v>325</v>
      </c>
      <c r="C211" s="51">
        <f>+C174</f>
        <v>0</v>
      </c>
      <c r="D211" s="47">
        <f>+D174</f>
        <v>0</v>
      </c>
      <c r="E211" s="40">
        <f>+E174</f>
        <v>0</v>
      </c>
      <c r="F211" s="43">
        <f>+F174</f>
        <v>0</v>
      </c>
    </row>
    <row r="212" spans="1:6" s="41" customFormat="1" ht="12.75" thickBot="1">
      <c r="A212" s="133" t="s">
        <v>85</v>
      </c>
      <c r="B212" s="118" t="s">
        <v>326</v>
      </c>
      <c r="C212" s="85">
        <f>+C169+C170+C171+C172+C173+C175+C176</f>
        <v>0</v>
      </c>
      <c r="D212" s="83">
        <f>+D169+D170+D171+D172+D173+D175+D176</f>
        <v>0</v>
      </c>
      <c r="E212" s="81">
        <f>+E169+E170+E171+E172+E173+E175+E176</f>
        <v>0</v>
      </c>
      <c r="F212" s="82">
        <f>+F169+F170+F171+F172+F173+F175+F176</f>
        <v>0</v>
      </c>
    </row>
    <row r="213" spans="1:6" s="29" customFormat="1" ht="12.75" thickBot="1">
      <c r="A213" s="127" t="s">
        <v>6</v>
      </c>
      <c r="B213" s="108" t="s">
        <v>375</v>
      </c>
      <c r="C213" s="71">
        <f>+C214-C217</f>
        <v>39000</v>
      </c>
      <c r="D213" s="60">
        <f>+D214-D217</f>
        <v>39000</v>
      </c>
      <c r="E213" s="61">
        <f>+E214-E217</f>
        <v>0</v>
      </c>
      <c r="F213" s="62">
        <f>+F214-F217</f>
        <v>0</v>
      </c>
    </row>
    <row r="214" spans="1:6" ht="12">
      <c r="A214" s="128" t="s">
        <v>86</v>
      </c>
      <c r="B214" s="109" t="s">
        <v>376</v>
      </c>
      <c r="C214" s="63">
        <f>+C215+C216</f>
        <v>39000</v>
      </c>
      <c r="D214" s="68">
        <f>+D215+D216</f>
        <v>39000</v>
      </c>
      <c r="E214" s="38">
        <f>+E215+E216</f>
        <v>0</v>
      </c>
      <c r="F214" s="69">
        <f>+F215+F216</f>
        <v>0</v>
      </c>
    </row>
    <row r="215" spans="1:6" s="41" customFormat="1" ht="12">
      <c r="A215" s="130" t="s">
        <v>331</v>
      </c>
      <c r="B215" s="110" t="s">
        <v>329</v>
      </c>
      <c r="C215" s="51">
        <f>+C84+C88</f>
        <v>0</v>
      </c>
      <c r="D215" s="47">
        <f>+D84+D88</f>
        <v>0</v>
      </c>
      <c r="E215" s="40">
        <f>+E84+E88</f>
        <v>0</v>
      </c>
      <c r="F215" s="43">
        <f>+F84+F88</f>
        <v>0</v>
      </c>
    </row>
    <row r="216" spans="1:6" s="41" customFormat="1" ht="12">
      <c r="A216" s="130" t="s">
        <v>332</v>
      </c>
      <c r="B216" s="110" t="s">
        <v>330</v>
      </c>
      <c r="C216" s="51">
        <f>+C82+C83+C85+C86+C87+C89</f>
        <v>39000</v>
      </c>
      <c r="D216" s="47">
        <f>+D82+D83+D85+D86+D87+D89</f>
        <v>39000</v>
      </c>
      <c r="E216" s="40">
        <f>+E82+E83+E85+E86+E87+E89</f>
        <v>0</v>
      </c>
      <c r="F216" s="43">
        <f>+F82+F83+F85+F86+F87+F89</f>
        <v>0</v>
      </c>
    </row>
    <row r="217" spans="1:6" ht="12">
      <c r="A217" s="129" t="s">
        <v>87</v>
      </c>
      <c r="B217" s="111" t="s">
        <v>377</v>
      </c>
      <c r="C217" s="50">
        <f>+C218+C219</f>
        <v>0</v>
      </c>
      <c r="D217" s="48">
        <f>+D218+D219</f>
        <v>0</v>
      </c>
      <c r="E217" s="39">
        <f>+E218+E219</f>
        <v>0</v>
      </c>
      <c r="F217" s="44">
        <f>+F218+F219</f>
        <v>0</v>
      </c>
    </row>
    <row r="218" spans="1:6" s="41" customFormat="1" ht="12">
      <c r="A218" s="130" t="s">
        <v>333</v>
      </c>
      <c r="B218" s="110" t="s">
        <v>327</v>
      </c>
      <c r="C218" s="51">
        <f>+C187</f>
        <v>0</v>
      </c>
      <c r="D218" s="47">
        <f>+D187</f>
        <v>0</v>
      </c>
      <c r="E218" s="40">
        <f>+E187</f>
        <v>0</v>
      </c>
      <c r="F218" s="43">
        <f>+F187</f>
        <v>0</v>
      </c>
    </row>
    <row r="219" spans="1:6" s="41" customFormat="1" ht="12.75" thickBot="1">
      <c r="A219" s="134" t="s">
        <v>334</v>
      </c>
      <c r="B219" s="119" t="s">
        <v>328</v>
      </c>
      <c r="C219" s="86">
        <f>+C182+C183+C184+C185+C186+C188+C189</f>
        <v>0</v>
      </c>
      <c r="D219" s="84">
        <f>+D182+D183+D184+D185+D186+D188+D189</f>
        <v>0</v>
      </c>
      <c r="E219" s="79">
        <f>+E182+E183+E184+E185+E186+E188+E189</f>
        <v>0</v>
      </c>
      <c r="F219" s="80">
        <f>+F182+F183+F184+F185+F186+F188+F189</f>
        <v>0</v>
      </c>
    </row>
    <row r="222" spans="1:30" s="24" customFormat="1" ht="15.75">
      <c r="A222" s="1299" t="s">
        <v>383</v>
      </c>
      <c r="B222" s="1299"/>
      <c r="C222" s="1299"/>
      <c r="D222" s="1299"/>
      <c r="E222" s="1299"/>
      <c r="F222" s="1299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</row>
    <row r="223" spans="1:6" s="73" customFormat="1" ht="12.75" thickBot="1">
      <c r="A223" s="75" t="s">
        <v>322</v>
      </c>
      <c r="F223" s="74"/>
    </row>
    <row r="224" spans="1:6" s="29" customFormat="1" ht="12">
      <c r="A224" s="135" t="s">
        <v>4</v>
      </c>
      <c r="B224" s="120" t="s">
        <v>119</v>
      </c>
      <c r="C224" s="94">
        <f>+D224+E224+F224</f>
        <v>31.5</v>
      </c>
      <c r="D224" s="95">
        <v>31.5</v>
      </c>
      <c r="E224" s="96">
        <v>0</v>
      </c>
      <c r="F224" s="97">
        <v>0</v>
      </c>
    </row>
    <row r="225" spans="1:6" s="41" customFormat="1" ht="12">
      <c r="A225" s="133" t="s">
        <v>408</v>
      </c>
      <c r="B225" s="146" t="s">
        <v>409</v>
      </c>
      <c r="C225" s="147">
        <f>+D225+E225+F225</f>
        <v>0</v>
      </c>
      <c r="D225" s="148">
        <v>0</v>
      </c>
      <c r="E225" s="149">
        <v>0</v>
      </c>
      <c r="F225" s="150">
        <v>0</v>
      </c>
    </row>
    <row r="226" spans="1:6" s="29" customFormat="1" ht="12.75" thickBot="1">
      <c r="A226" s="136" t="s">
        <v>5</v>
      </c>
      <c r="B226" s="121" t="s">
        <v>120</v>
      </c>
      <c r="C226" s="98">
        <f>+D226+E226+F226</f>
        <v>0</v>
      </c>
      <c r="D226" s="99">
        <v>0</v>
      </c>
      <c r="E226" s="100">
        <v>0</v>
      </c>
      <c r="F226" s="101">
        <v>0</v>
      </c>
    </row>
    <row r="227" spans="1:6" s="29" customFormat="1" ht="12.75" thickBot="1">
      <c r="A227" s="127" t="s">
        <v>6</v>
      </c>
      <c r="B227" s="113" t="s">
        <v>380</v>
      </c>
      <c r="C227" s="102">
        <f>+C224+C226</f>
        <v>31.5</v>
      </c>
      <c r="D227" s="103">
        <f>+D224+D226</f>
        <v>31.5</v>
      </c>
      <c r="E227" s="104">
        <f>+E224+E226</f>
        <v>0</v>
      </c>
      <c r="F227" s="105">
        <f>+F224+F226</f>
        <v>0</v>
      </c>
    </row>
  </sheetData>
  <sheetProtection/>
  <mergeCells count="9">
    <mergeCell ref="A196:F196"/>
    <mergeCell ref="A203:F203"/>
    <mergeCell ref="A222:F222"/>
    <mergeCell ref="A3:F3"/>
    <mergeCell ref="A4:F4"/>
    <mergeCell ref="A6:F6"/>
    <mergeCell ref="C9:F9"/>
    <mergeCell ref="A96:F96"/>
    <mergeCell ref="C99:F9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5" r:id="rId1"/>
  <headerFooter>
    <oddHeader>&amp;C 1.2. melléklet - &amp;P. oldal</oddHeader>
  </headerFooter>
  <rowBreaks count="1" manualBreakCount="1">
    <brk id="95" max="5" man="1"/>
  </rowBreaks>
  <colBreaks count="1" manualBreakCount="1">
    <brk id="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AD227"/>
  <sheetViews>
    <sheetView zoomScale="80" zoomScaleNormal="80" zoomScalePageLayoutView="0" workbookViewId="0" topLeftCell="A1">
      <selection activeCell="F1" sqref="F1"/>
    </sheetView>
  </sheetViews>
  <sheetFormatPr defaultColWidth="9.00390625" defaultRowHeight="12.75"/>
  <cols>
    <col min="1" max="1" width="6.625" style="30" customWidth="1"/>
    <col min="2" max="2" width="109.625" style="30" bestFit="1" customWidth="1"/>
    <col min="3" max="16384" width="9.125" style="30" customWidth="1"/>
  </cols>
  <sheetData>
    <row r="1" s="90" customFormat="1" ht="15.75">
      <c r="F1" s="91" t="s">
        <v>1411</v>
      </c>
    </row>
    <row r="2" s="90" customFormat="1" ht="15.75"/>
    <row r="3" spans="1:6" s="92" customFormat="1" ht="15.75">
      <c r="A3" s="1298" t="s">
        <v>416</v>
      </c>
      <c r="B3" s="1298"/>
      <c r="C3" s="1298"/>
      <c r="D3" s="1298"/>
      <c r="E3" s="1298"/>
      <c r="F3" s="1298"/>
    </row>
    <row r="4" spans="1:6" s="92" customFormat="1" ht="15.75">
      <c r="A4" s="1298" t="s">
        <v>412</v>
      </c>
      <c r="B4" s="1298"/>
      <c r="C4" s="1298"/>
      <c r="D4" s="1298"/>
      <c r="E4" s="1298"/>
      <c r="F4" s="1298"/>
    </row>
    <row r="5" s="90" customFormat="1" ht="15.75"/>
    <row r="6" spans="1:6" s="92" customFormat="1" ht="15.75">
      <c r="A6" s="1298" t="s">
        <v>76</v>
      </c>
      <c r="B6" s="1298"/>
      <c r="C6" s="1298"/>
      <c r="D6" s="1298"/>
      <c r="E6" s="1298"/>
      <c r="F6" s="1298"/>
    </row>
    <row r="7" spans="1:6" s="73" customFormat="1" ht="12.75" thickBot="1">
      <c r="A7" s="75" t="s">
        <v>318</v>
      </c>
      <c r="F7" s="74" t="s">
        <v>319</v>
      </c>
    </row>
    <row r="8" spans="1:6" s="35" customFormat="1" ht="54" customHeight="1" thickBot="1">
      <c r="A8" s="123" t="s">
        <v>17</v>
      </c>
      <c r="B8" s="137" t="s">
        <v>378</v>
      </c>
      <c r="C8" s="31" t="s">
        <v>419</v>
      </c>
      <c r="D8" s="32" t="s">
        <v>79</v>
      </c>
      <c r="E8" s="33" t="s">
        <v>80</v>
      </c>
      <c r="F8" s="34" t="s">
        <v>81</v>
      </c>
    </row>
    <row r="9" spans="1:6" s="29" customFormat="1" ht="12.75" thickBot="1">
      <c r="A9" s="127" t="s">
        <v>291</v>
      </c>
      <c r="B9" s="138" t="s">
        <v>292</v>
      </c>
      <c r="C9" s="1300" t="s">
        <v>293</v>
      </c>
      <c r="D9" s="1301"/>
      <c r="E9" s="1301"/>
      <c r="F9" s="1302"/>
    </row>
    <row r="10" spans="1:6" s="29" customFormat="1" ht="12.75" thickBot="1">
      <c r="A10" s="139" t="s">
        <v>4</v>
      </c>
      <c r="B10" s="107" t="s">
        <v>335</v>
      </c>
      <c r="C10" s="70">
        <f>+C11+C25+C32+C43</f>
        <v>29549</v>
      </c>
      <c r="D10" s="65">
        <f>+D11+D25+D32+D43</f>
        <v>29549</v>
      </c>
      <c r="E10" s="66">
        <f>+E11+E25+E32+E43</f>
        <v>0</v>
      </c>
      <c r="F10" s="67">
        <f>+F11+F25+F32+F43</f>
        <v>0</v>
      </c>
    </row>
    <row r="11" spans="1:6" s="29" customFormat="1" ht="12.75" customHeight="1" thickBot="1">
      <c r="A11" s="127" t="s">
        <v>5</v>
      </c>
      <c r="B11" s="108" t="s">
        <v>336</v>
      </c>
      <c r="C11" s="71">
        <f>+C12+C19+C20+C21+C22+C23</f>
        <v>0</v>
      </c>
      <c r="D11" s="60">
        <f>+D12+D19+D20+D21+D22+D23</f>
        <v>0</v>
      </c>
      <c r="E11" s="61">
        <f>+E12+E19+E20+E21+E22+E23</f>
        <v>0</v>
      </c>
      <c r="F11" s="62">
        <f>+F12+F19+F20+F21+F22+F23</f>
        <v>0</v>
      </c>
    </row>
    <row r="12" spans="1:6" s="29" customFormat="1" ht="12">
      <c r="A12" s="128" t="s">
        <v>82</v>
      </c>
      <c r="B12" s="109" t="s">
        <v>337</v>
      </c>
      <c r="C12" s="63">
        <f>+C13+C14+C15+C16+C17+C18</f>
        <v>0</v>
      </c>
      <c r="D12" s="46">
        <f>+D13+D14+D15+D16+D17+D18</f>
        <v>0</v>
      </c>
      <c r="E12" s="37">
        <f>+E13+E14+E15+E16+E17+E18</f>
        <v>0</v>
      </c>
      <c r="F12" s="42">
        <f>+F13+F14+F15+F16+F17+F18</f>
        <v>0</v>
      </c>
    </row>
    <row r="13" spans="1:6" s="41" customFormat="1" ht="12">
      <c r="A13" s="130" t="s">
        <v>228</v>
      </c>
      <c r="B13" s="110" t="s">
        <v>121</v>
      </c>
      <c r="C13" s="51">
        <f>+D13+E13+F13</f>
        <v>0</v>
      </c>
      <c r="D13" s="47">
        <v>0</v>
      </c>
      <c r="E13" s="40">
        <v>0</v>
      </c>
      <c r="F13" s="43">
        <v>0</v>
      </c>
    </row>
    <row r="14" spans="1:6" s="41" customFormat="1" ht="12">
      <c r="A14" s="130" t="s">
        <v>229</v>
      </c>
      <c r="B14" s="110" t="s">
        <v>122</v>
      </c>
      <c r="C14" s="51">
        <f aca="true" t="shared" si="0" ref="C14:C24">+D14+E14+F14</f>
        <v>0</v>
      </c>
      <c r="D14" s="47">
        <v>0</v>
      </c>
      <c r="E14" s="40">
        <v>0</v>
      </c>
      <c r="F14" s="43">
        <v>0</v>
      </c>
    </row>
    <row r="15" spans="1:6" s="41" customFormat="1" ht="12">
      <c r="A15" s="130" t="s">
        <v>230</v>
      </c>
      <c r="B15" s="110" t="s">
        <v>123</v>
      </c>
      <c r="C15" s="51">
        <f t="shared" si="0"/>
        <v>0</v>
      </c>
      <c r="D15" s="47">
        <v>0</v>
      </c>
      <c r="E15" s="40">
        <v>0</v>
      </c>
      <c r="F15" s="43">
        <v>0</v>
      </c>
    </row>
    <row r="16" spans="1:6" s="41" customFormat="1" ht="12">
      <c r="A16" s="130" t="s">
        <v>231</v>
      </c>
      <c r="B16" s="110" t="s">
        <v>124</v>
      </c>
      <c r="C16" s="51">
        <f t="shared" si="0"/>
        <v>0</v>
      </c>
      <c r="D16" s="47">
        <v>0</v>
      </c>
      <c r="E16" s="40">
        <v>0</v>
      </c>
      <c r="F16" s="43">
        <v>0</v>
      </c>
    </row>
    <row r="17" spans="1:6" s="41" customFormat="1" ht="12">
      <c r="A17" s="130" t="s">
        <v>232</v>
      </c>
      <c r="B17" s="110" t="s">
        <v>125</v>
      </c>
      <c r="C17" s="51">
        <f t="shared" si="0"/>
        <v>0</v>
      </c>
      <c r="D17" s="47">
        <v>0</v>
      </c>
      <c r="E17" s="40">
        <v>0</v>
      </c>
      <c r="F17" s="43">
        <v>0</v>
      </c>
    </row>
    <row r="18" spans="1:6" s="41" customFormat="1" ht="12">
      <c r="A18" s="130" t="s">
        <v>233</v>
      </c>
      <c r="B18" s="110" t="s">
        <v>126</v>
      </c>
      <c r="C18" s="51">
        <f t="shared" si="0"/>
        <v>0</v>
      </c>
      <c r="D18" s="47">
        <v>0</v>
      </c>
      <c r="E18" s="40">
        <v>0</v>
      </c>
      <c r="F18" s="43">
        <v>0</v>
      </c>
    </row>
    <row r="19" spans="1:6" ht="12">
      <c r="A19" s="129" t="s">
        <v>83</v>
      </c>
      <c r="B19" s="111" t="s">
        <v>127</v>
      </c>
      <c r="C19" s="50">
        <f t="shared" si="0"/>
        <v>0</v>
      </c>
      <c r="D19" s="48">
        <v>0</v>
      </c>
      <c r="E19" s="39">
        <v>0</v>
      </c>
      <c r="F19" s="44">
        <v>0</v>
      </c>
    </row>
    <row r="20" spans="1:6" ht="12">
      <c r="A20" s="129" t="s">
        <v>111</v>
      </c>
      <c r="B20" s="111" t="s">
        <v>128</v>
      </c>
      <c r="C20" s="50">
        <f t="shared" si="0"/>
        <v>0</v>
      </c>
      <c r="D20" s="48">
        <v>0</v>
      </c>
      <c r="E20" s="39">
        <v>0</v>
      </c>
      <c r="F20" s="44">
        <v>0</v>
      </c>
    </row>
    <row r="21" spans="1:6" ht="12">
      <c r="A21" s="129" t="s">
        <v>112</v>
      </c>
      <c r="B21" s="111" t="s">
        <v>129</v>
      </c>
      <c r="C21" s="50">
        <f t="shared" si="0"/>
        <v>0</v>
      </c>
      <c r="D21" s="48">
        <v>0</v>
      </c>
      <c r="E21" s="39">
        <v>0</v>
      </c>
      <c r="F21" s="44">
        <v>0</v>
      </c>
    </row>
    <row r="22" spans="1:6" ht="12">
      <c r="A22" s="129" t="s">
        <v>113</v>
      </c>
      <c r="B22" s="111" t="s">
        <v>130</v>
      </c>
      <c r="C22" s="50">
        <f t="shared" si="0"/>
        <v>0</v>
      </c>
      <c r="D22" s="48">
        <v>0</v>
      </c>
      <c r="E22" s="39">
        <v>0</v>
      </c>
      <c r="F22" s="44">
        <v>0</v>
      </c>
    </row>
    <row r="23" spans="1:6" ht="12">
      <c r="A23" s="122" t="s">
        <v>114</v>
      </c>
      <c r="B23" s="112" t="s">
        <v>131</v>
      </c>
      <c r="C23" s="53">
        <f t="shared" si="0"/>
        <v>0</v>
      </c>
      <c r="D23" s="54">
        <v>0</v>
      </c>
      <c r="E23" s="55">
        <v>0</v>
      </c>
      <c r="F23" s="56">
        <v>0</v>
      </c>
    </row>
    <row r="24" spans="1:6" s="41" customFormat="1" ht="12.75" thickBot="1">
      <c r="A24" s="133" t="s">
        <v>384</v>
      </c>
      <c r="B24" s="106" t="s">
        <v>385</v>
      </c>
      <c r="C24" s="85">
        <f t="shared" si="0"/>
        <v>0</v>
      </c>
      <c r="D24" s="83">
        <v>0</v>
      </c>
      <c r="E24" s="81">
        <v>0</v>
      </c>
      <c r="F24" s="82">
        <v>0</v>
      </c>
    </row>
    <row r="25" spans="1:6" s="29" customFormat="1" ht="12.75" customHeight="1" thickBot="1">
      <c r="A25" s="127" t="s">
        <v>6</v>
      </c>
      <c r="B25" s="108" t="s">
        <v>1090</v>
      </c>
      <c r="C25" s="71">
        <f>+C26+C27+C28+C29+C30+C31</f>
        <v>0</v>
      </c>
      <c r="D25" s="60">
        <f>+D26+D27+D28+D29+D30+D31</f>
        <v>0</v>
      </c>
      <c r="E25" s="61">
        <f>+E26+E27+E28+E29+E30+E31</f>
        <v>0</v>
      </c>
      <c r="F25" s="62">
        <f>+F26+F27+F28+F29+F30+F31</f>
        <v>0</v>
      </c>
    </row>
    <row r="26" spans="1:6" ht="12.75" customHeight="1">
      <c r="A26" s="128" t="s">
        <v>86</v>
      </c>
      <c r="B26" s="109" t="s">
        <v>132</v>
      </c>
      <c r="C26" s="63">
        <f aca="true" t="shared" si="1" ref="C26:C31">+D26+E26+F26</f>
        <v>0</v>
      </c>
      <c r="D26" s="68">
        <v>0</v>
      </c>
      <c r="E26" s="38">
        <v>0</v>
      </c>
      <c r="F26" s="69">
        <v>0</v>
      </c>
    </row>
    <row r="27" spans="1:6" ht="12.75" customHeight="1">
      <c r="A27" s="129" t="s">
        <v>87</v>
      </c>
      <c r="B27" s="111" t="s">
        <v>133</v>
      </c>
      <c r="C27" s="50">
        <f t="shared" si="1"/>
        <v>0</v>
      </c>
      <c r="D27" s="48">
        <v>0</v>
      </c>
      <c r="E27" s="39">
        <v>0</v>
      </c>
      <c r="F27" s="44">
        <v>0</v>
      </c>
    </row>
    <row r="28" spans="1:6" ht="12.75" customHeight="1">
      <c r="A28" s="129" t="s">
        <v>88</v>
      </c>
      <c r="B28" s="111" t="s">
        <v>134</v>
      </c>
      <c r="C28" s="50">
        <f t="shared" si="1"/>
        <v>0</v>
      </c>
      <c r="D28" s="48">
        <v>0</v>
      </c>
      <c r="E28" s="39">
        <v>0</v>
      </c>
      <c r="F28" s="44">
        <v>0</v>
      </c>
    </row>
    <row r="29" spans="1:6" ht="12.75" customHeight="1">
      <c r="A29" s="129" t="s">
        <v>218</v>
      </c>
      <c r="B29" s="111" t="s">
        <v>135</v>
      </c>
      <c r="C29" s="50">
        <f t="shared" si="1"/>
        <v>0</v>
      </c>
      <c r="D29" s="48">
        <v>0</v>
      </c>
      <c r="E29" s="39">
        <v>0</v>
      </c>
      <c r="F29" s="44">
        <v>0</v>
      </c>
    </row>
    <row r="30" spans="1:6" ht="12.75" customHeight="1">
      <c r="A30" s="122" t="s">
        <v>219</v>
      </c>
      <c r="B30" s="112" t="s">
        <v>136</v>
      </c>
      <c r="C30" s="53">
        <f t="shared" si="1"/>
        <v>0</v>
      </c>
      <c r="D30" s="48">
        <v>0</v>
      </c>
      <c r="E30" s="39">
        <v>0</v>
      </c>
      <c r="F30" s="44">
        <v>0</v>
      </c>
    </row>
    <row r="31" spans="1:6" ht="12.75" customHeight="1" thickBot="1">
      <c r="A31" s="122" t="s">
        <v>1089</v>
      </c>
      <c r="B31" s="112" t="s">
        <v>1091</v>
      </c>
      <c r="C31" s="53">
        <f t="shared" si="1"/>
        <v>0</v>
      </c>
      <c r="D31" s="48">
        <v>0</v>
      </c>
      <c r="E31" s="39">
        <v>0</v>
      </c>
      <c r="F31" s="44">
        <v>0</v>
      </c>
    </row>
    <row r="32" spans="1:6" s="29" customFormat="1" ht="12.75" customHeight="1" thickBot="1">
      <c r="A32" s="127" t="s">
        <v>3</v>
      </c>
      <c r="B32" s="108" t="s">
        <v>338</v>
      </c>
      <c r="C32" s="71">
        <f>+C33+C34+C35+C36+C37+C38+C39+C40+C41+C42</f>
        <v>29549</v>
      </c>
      <c r="D32" s="60">
        <f>+D33+D34+D35+D36+D37+D38+D39+D40+D41+D42</f>
        <v>29549</v>
      </c>
      <c r="E32" s="61">
        <f>+E33+E34+E35+E36+E37+E38+E39+E40+E41+E42</f>
        <v>0</v>
      </c>
      <c r="F32" s="62">
        <f>+F33+F34+F35+F36+F37+F38+F39+F40+F41+F42</f>
        <v>0</v>
      </c>
    </row>
    <row r="33" spans="1:6" ht="12.75" customHeight="1">
      <c r="A33" s="128" t="s">
        <v>89</v>
      </c>
      <c r="B33" s="109" t="s">
        <v>137</v>
      </c>
      <c r="C33" s="63">
        <f aca="true" t="shared" si="2" ref="C33:C42">+D33+E33+F33</f>
        <v>0</v>
      </c>
      <c r="D33" s="68">
        <v>0</v>
      </c>
      <c r="E33" s="38">
        <v>0</v>
      </c>
      <c r="F33" s="69">
        <v>0</v>
      </c>
    </row>
    <row r="34" spans="1:6" ht="12.75" customHeight="1">
      <c r="A34" s="129" t="s">
        <v>90</v>
      </c>
      <c r="B34" s="111" t="s">
        <v>138</v>
      </c>
      <c r="C34" s="50">
        <f t="shared" si="2"/>
        <v>14706</v>
      </c>
      <c r="D34" s="48">
        <v>14706</v>
      </c>
      <c r="E34" s="39">
        <v>0</v>
      </c>
      <c r="F34" s="44">
        <v>0</v>
      </c>
    </row>
    <row r="35" spans="1:6" ht="12.75" customHeight="1">
      <c r="A35" s="129" t="s">
        <v>91</v>
      </c>
      <c r="B35" s="111" t="s">
        <v>139</v>
      </c>
      <c r="C35" s="50">
        <f t="shared" si="2"/>
        <v>3879</v>
      </c>
      <c r="D35" s="48">
        <v>3879</v>
      </c>
      <c r="E35" s="39">
        <v>0</v>
      </c>
      <c r="F35" s="44">
        <v>0</v>
      </c>
    </row>
    <row r="36" spans="1:6" ht="12.75" customHeight="1">
      <c r="A36" s="129" t="s">
        <v>92</v>
      </c>
      <c r="B36" s="111" t="s">
        <v>140</v>
      </c>
      <c r="C36" s="50">
        <f t="shared" si="2"/>
        <v>0</v>
      </c>
      <c r="D36" s="48">
        <v>0</v>
      </c>
      <c r="E36" s="39">
        <v>0</v>
      </c>
      <c r="F36" s="44">
        <v>0</v>
      </c>
    </row>
    <row r="37" spans="1:6" ht="12.75" customHeight="1">
      <c r="A37" s="129" t="s">
        <v>93</v>
      </c>
      <c r="B37" s="111" t="s">
        <v>141</v>
      </c>
      <c r="C37" s="50">
        <f t="shared" si="2"/>
        <v>0</v>
      </c>
      <c r="D37" s="48">
        <v>0</v>
      </c>
      <c r="E37" s="39">
        <v>0</v>
      </c>
      <c r="F37" s="44">
        <v>0</v>
      </c>
    </row>
    <row r="38" spans="1:6" ht="12.75" customHeight="1">
      <c r="A38" s="129" t="s">
        <v>260</v>
      </c>
      <c r="B38" s="111" t="s">
        <v>142</v>
      </c>
      <c r="C38" s="50">
        <f t="shared" si="2"/>
        <v>3971</v>
      </c>
      <c r="D38" s="48">
        <v>3971</v>
      </c>
      <c r="E38" s="39">
        <v>0</v>
      </c>
      <c r="F38" s="44">
        <v>0</v>
      </c>
    </row>
    <row r="39" spans="1:6" ht="12.75" customHeight="1">
      <c r="A39" s="129" t="s">
        <v>261</v>
      </c>
      <c r="B39" s="111" t="s">
        <v>143</v>
      </c>
      <c r="C39" s="50">
        <f t="shared" si="2"/>
        <v>6993</v>
      </c>
      <c r="D39" s="48">
        <v>6993</v>
      </c>
      <c r="E39" s="39">
        <v>0</v>
      </c>
      <c r="F39" s="44">
        <v>0</v>
      </c>
    </row>
    <row r="40" spans="1:6" ht="12.75" customHeight="1">
      <c r="A40" s="129" t="s">
        <v>262</v>
      </c>
      <c r="B40" s="111" t="s">
        <v>144</v>
      </c>
      <c r="C40" s="50">
        <f t="shared" si="2"/>
        <v>0</v>
      </c>
      <c r="D40" s="48">
        <v>0</v>
      </c>
      <c r="E40" s="39">
        <v>0</v>
      </c>
      <c r="F40" s="44">
        <v>0</v>
      </c>
    </row>
    <row r="41" spans="1:6" ht="12.75" customHeight="1">
      <c r="A41" s="129" t="s">
        <v>263</v>
      </c>
      <c r="B41" s="111" t="s">
        <v>145</v>
      </c>
      <c r="C41" s="50">
        <f t="shared" si="2"/>
        <v>0</v>
      </c>
      <c r="D41" s="48">
        <v>0</v>
      </c>
      <c r="E41" s="39">
        <v>0</v>
      </c>
      <c r="F41" s="44">
        <v>0</v>
      </c>
    </row>
    <row r="42" spans="1:6" ht="12.75" customHeight="1" thickBot="1">
      <c r="A42" s="122" t="s">
        <v>264</v>
      </c>
      <c r="B42" s="112" t="s">
        <v>146</v>
      </c>
      <c r="C42" s="53">
        <f t="shared" si="2"/>
        <v>0</v>
      </c>
      <c r="D42" s="54">
        <v>0</v>
      </c>
      <c r="E42" s="55">
        <v>0</v>
      </c>
      <c r="F42" s="56">
        <v>0</v>
      </c>
    </row>
    <row r="43" spans="1:6" s="29" customFormat="1" ht="12.75" thickBot="1">
      <c r="A43" s="127" t="s">
        <v>16</v>
      </c>
      <c r="B43" s="108" t="s">
        <v>339</v>
      </c>
      <c r="C43" s="71">
        <f>+C44+C45+C46</f>
        <v>0</v>
      </c>
      <c r="D43" s="60">
        <f>+D44+D45+D46</f>
        <v>0</v>
      </c>
      <c r="E43" s="61">
        <f>+E44+E45+E46</f>
        <v>0</v>
      </c>
      <c r="F43" s="62">
        <f>+F44+F45+F46</f>
        <v>0</v>
      </c>
    </row>
    <row r="44" spans="1:6" ht="12.75" customHeight="1">
      <c r="A44" s="128" t="s">
        <v>265</v>
      </c>
      <c r="B44" s="109" t="s">
        <v>147</v>
      </c>
      <c r="C44" s="63">
        <f>+D44+E44+F44</f>
        <v>0</v>
      </c>
      <c r="D44" s="68">
        <v>0</v>
      </c>
      <c r="E44" s="38">
        <v>0</v>
      </c>
      <c r="F44" s="69">
        <v>0</v>
      </c>
    </row>
    <row r="45" spans="1:6" ht="12.75" customHeight="1">
      <c r="A45" s="129" t="s">
        <v>266</v>
      </c>
      <c r="B45" s="111" t="s">
        <v>148</v>
      </c>
      <c r="C45" s="50">
        <f>+D45+E45+F45</f>
        <v>0</v>
      </c>
      <c r="D45" s="48">
        <v>0</v>
      </c>
      <c r="E45" s="39">
        <v>0</v>
      </c>
      <c r="F45" s="44">
        <v>0</v>
      </c>
    </row>
    <row r="46" spans="1:6" ht="12.75" customHeight="1" thickBot="1">
      <c r="A46" s="122" t="s">
        <v>267</v>
      </c>
      <c r="B46" s="112" t="s">
        <v>149</v>
      </c>
      <c r="C46" s="53">
        <f>+D46+E46+F46</f>
        <v>0</v>
      </c>
      <c r="D46" s="54">
        <v>0</v>
      </c>
      <c r="E46" s="55">
        <v>0</v>
      </c>
      <c r="F46" s="56">
        <v>0</v>
      </c>
    </row>
    <row r="47" spans="1:6" s="29" customFormat="1" ht="12.75" thickBot="1">
      <c r="A47" s="127" t="s">
        <v>15</v>
      </c>
      <c r="B47" s="113" t="s">
        <v>340</v>
      </c>
      <c r="C47" s="71">
        <f>+C48+C55+C61</f>
        <v>0</v>
      </c>
      <c r="D47" s="60">
        <f>+D48+D55+D61</f>
        <v>0</v>
      </c>
      <c r="E47" s="61">
        <f>+E48+E55+E61</f>
        <v>0</v>
      </c>
      <c r="F47" s="62">
        <f>+F48+F55+F61</f>
        <v>0</v>
      </c>
    </row>
    <row r="48" spans="1:6" s="29" customFormat="1" ht="12.75" customHeight="1" thickBot="1">
      <c r="A48" s="127" t="s">
        <v>14</v>
      </c>
      <c r="B48" s="108" t="s">
        <v>341</v>
      </c>
      <c r="C48" s="71">
        <f>+C49+C50+C51+C52+C53</f>
        <v>0</v>
      </c>
      <c r="D48" s="60">
        <f>+D49+D50+D51+D52+D53</f>
        <v>0</v>
      </c>
      <c r="E48" s="61">
        <f>+E49+E50+E51+E52+E53</f>
        <v>0</v>
      </c>
      <c r="F48" s="62">
        <f>+F49+F50+F51+F52+F53</f>
        <v>0</v>
      </c>
    </row>
    <row r="49" spans="1:6" ht="12">
      <c r="A49" s="128" t="s">
        <v>223</v>
      </c>
      <c r="B49" s="109" t="s">
        <v>150</v>
      </c>
      <c r="C49" s="63">
        <f aca="true" t="shared" si="3" ref="C49:C54">+D49+E49+F49</f>
        <v>0</v>
      </c>
      <c r="D49" s="68">
        <v>0</v>
      </c>
      <c r="E49" s="38">
        <v>0</v>
      </c>
      <c r="F49" s="69">
        <v>0</v>
      </c>
    </row>
    <row r="50" spans="1:6" ht="12">
      <c r="A50" s="129" t="s">
        <v>224</v>
      </c>
      <c r="B50" s="111" t="s">
        <v>151</v>
      </c>
      <c r="C50" s="50">
        <f t="shared" si="3"/>
        <v>0</v>
      </c>
      <c r="D50" s="48">
        <v>0</v>
      </c>
      <c r="E50" s="39">
        <v>0</v>
      </c>
      <c r="F50" s="44">
        <v>0</v>
      </c>
    </row>
    <row r="51" spans="1:6" ht="12">
      <c r="A51" s="129" t="s">
        <v>225</v>
      </c>
      <c r="B51" s="111" t="s">
        <v>152</v>
      </c>
      <c r="C51" s="50">
        <f t="shared" si="3"/>
        <v>0</v>
      </c>
      <c r="D51" s="48">
        <v>0</v>
      </c>
      <c r="E51" s="39">
        <v>0</v>
      </c>
      <c r="F51" s="44">
        <v>0</v>
      </c>
    </row>
    <row r="52" spans="1:6" ht="12">
      <c r="A52" s="129" t="s">
        <v>226</v>
      </c>
      <c r="B52" s="111" t="s">
        <v>153</v>
      </c>
      <c r="C52" s="50">
        <f t="shared" si="3"/>
        <v>0</v>
      </c>
      <c r="D52" s="48">
        <v>0</v>
      </c>
      <c r="E52" s="39">
        <v>0</v>
      </c>
      <c r="F52" s="44">
        <v>0</v>
      </c>
    </row>
    <row r="53" spans="1:6" ht="12">
      <c r="A53" s="122" t="s">
        <v>227</v>
      </c>
      <c r="B53" s="112" t="s">
        <v>154</v>
      </c>
      <c r="C53" s="53">
        <f t="shared" si="3"/>
        <v>0</v>
      </c>
      <c r="D53" s="54">
        <v>0</v>
      </c>
      <c r="E53" s="55">
        <v>0</v>
      </c>
      <c r="F53" s="56">
        <v>0</v>
      </c>
    </row>
    <row r="54" spans="1:6" s="41" customFormat="1" ht="12.75" thickBot="1">
      <c r="A54" s="133" t="s">
        <v>386</v>
      </c>
      <c r="B54" s="106" t="s">
        <v>394</v>
      </c>
      <c r="C54" s="85">
        <f t="shared" si="3"/>
        <v>0</v>
      </c>
      <c r="D54" s="83">
        <v>0</v>
      </c>
      <c r="E54" s="81">
        <v>0</v>
      </c>
      <c r="F54" s="82">
        <v>0</v>
      </c>
    </row>
    <row r="55" spans="1:6" s="29" customFormat="1" ht="12.75" customHeight="1" thickBot="1">
      <c r="A55" s="127" t="s">
        <v>13</v>
      </c>
      <c r="B55" s="108" t="s">
        <v>342</v>
      </c>
      <c r="C55" s="71">
        <f>+C56+C57+C58+C59+C60</f>
        <v>0</v>
      </c>
      <c r="D55" s="60">
        <f>+D56+D57+D58+D59+D60</f>
        <v>0</v>
      </c>
      <c r="E55" s="61">
        <f>+E56+E57+E58+E59+E60</f>
        <v>0</v>
      </c>
      <c r="F55" s="62">
        <f>+F56+F57+F58+F59+F60</f>
        <v>0</v>
      </c>
    </row>
    <row r="56" spans="1:6" ht="12.75" customHeight="1">
      <c r="A56" s="128" t="s">
        <v>94</v>
      </c>
      <c r="B56" s="109" t="s">
        <v>155</v>
      </c>
      <c r="C56" s="63">
        <f>+D56+E56+F56</f>
        <v>0</v>
      </c>
      <c r="D56" s="68">
        <v>0</v>
      </c>
      <c r="E56" s="38">
        <v>0</v>
      </c>
      <c r="F56" s="69">
        <v>0</v>
      </c>
    </row>
    <row r="57" spans="1:6" ht="12.75" customHeight="1">
      <c r="A57" s="129" t="s">
        <v>95</v>
      </c>
      <c r="B57" s="111" t="s">
        <v>156</v>
      </c>
      <c r="C57" s="50">
        <f>+D57+E57+F57</f>
        <v>0</v>
      </c>
      <c r="D57" s="48">
        <v>0</v>
      </c>
      <c r="E57" s="39">
        <v>0</v>
      </c>
      <c r="F57" s="44">
        <v>0</v>
      </c>
    </row>
    <row r="58" spans="1:6" ht="12.75" customHeight="1">
      <c r="A58" s="129" t="s">
        <v>96</v>
      </c>
      <c r="B58" s="111" t="s">
        <v>157</v>
      </c>
      <c r="C58" s="50">
        <f>+D58+E58+F58</f>
        <v>0</v>
      </c>
      <c r="D58" s="48">
        <v>0</v>
      </c>
      <c r="E58" s="39">
        <v>0</v>
      </c>
      <c r="F58" s="44">
        <v>0</v>
      </c>
    </row>
    <row r="59" spans="1:6" ht="12.75" customHeight="1">
      <c r="A59" s="129" t="s">
        <v>268</v>
      </c>
      <c r="B59" s="111" t="s">
        <v>158</v>
      </c>
      <c r="C59" s="50">
        <f>+D59+E59+F59</f>
        <v>0</v>
      </c>
      <c r="D59" s="48">
        <v>0</v>
      </c>
      <c r="E59" s="39">
        <v>0</v>
      </c>
      <c r="F59" s="44">
        <v>0</v>
      </c>
    </row>
    <row r="60" spans="1:6" ht="12.75" customHeight="1" thickBot="1">
      <c r="A60" s="122" t="s">
        <v>269</v>
      </c>
      <c r="B60" s="112" t="s">
        <v>159</v>
      </c>
      <c r="C60" s="53">
        <f>+D60+E60+F60</f>
        <v>0</v>
      </c>
      <c r="D60" s="54">
        <v>0</v>
      </c>
      <c r="E60" s="55">
        <v>0</v>
      </c>
      <c r="F60" s="56">
        <v>0</v>
      </c>
    </row>
    <row r="61" spans="1:6" s="29" customFormat="1" ht="12.75" thickBot="1">
      <c r="A61" s="127" t="s">
        <v>12</v>
      </c>
      <c r="B61" s="108" t="s">
        <v>343</v>
      </c>
      <c r="C61" s="71">
        <f>+C62+C63+C64</f>
        <v>0</v>
      </c>
      <c r="D61" s="60">
        <f>+D62+D63+D64</f>
        <v>0</v>
      </c>
      <c r="E61" s="61">
        <f>+E62+E63+E64</f>
        <v>0</v>
      </c>
      <c r="F61" s="62">
        <f>+F62+F63+F64</f>
        <v>0</v>
      </c>
    </row>
    <row r="62" spans="1:6" ht="12">
      <c r="A62" s="128" t="s">
        <v>97</v>
      </c>
      <c r="B62" s="109" t="s">
        <v>160</v>
      </c>
      <c r="C62" s="63">
        <f>+D62+E62+F62</f>
        <v>0</v>
      </c>
      <c r="D62" s="68">
        <v>0</v>
      </c>
      <c r="E62" s="38">
        <v>0</v>
      </c>
      <c r="F62" s="69">
        <v>0</v>
      </c>
    </row>
    <row r="63" spans="1:6" ht="12">
      <c r="A63" s="129" t="s">
        <v>98</v>
      </c>
      <c r="B63" s="111" t="s">
        <v>161</v>
      </c>
      <c r="C63" s="50">
        <f>+D63+E63+F63</f>
        <v>0</v>
      </c>
      <c r="D63" s="48">
        <v>0</v>
      </c>
      <c r="E63" s="39">
        <v>0</v>
      </c>
      <c r="F63" s="44">
        <v>0</v>
      </c>
    </row>
    <row r="64" spans="1:6" ht="12.75" thickBot="1">
      <c r="A64" s="122" t="s">
        <v>99</v>
      </c>
      <c r="B64" s="112" t="s">
        <v>162</v>
      </c>
      <c r="C64" s="53">
        <f>+D64+E64+F64</f>
        <v>0</v>
      </c>
      <c r="D64" s="54">
        <v>0</v>
      </c>
      <c r="E64" s="55">
        <v>0</v>
      </c>
      <c r="F64" s="56">
        <v>0</v>
      </c>
    </row>
    <row r="65" spans="1:6" s="29" customFormat="1" ht="12.75" thickBot="1">
      <c r="A65" s="127" t="s">
        <v>11</v>
      </c>
      <c r="B65" s="113" t="s">
        <v>344</v>
      </c>
      <c r="C65" s="71">
        <f>+C10+C47</f>
        <v>29549</v>
      </c>
      <c r="D65" s="60">
        <f>+D10+D47</f>
        <v>29549</v>
      </c>
      <c r="E65" s="61">
        <f>+E10+E47</f>
        <v>0</v>
      </c>
      <c r="F65" s="62">
        <f>+F10+F47</f>
        <v>0</v>
      </c>
    </row>
    <row r="66" spans="1:6" s="29" customFormat="1" ht="12.75" thickBot="1">
      <c r="A66" s="127" t="s">
        <v>10</v>
      </c>
      <c r="B66" s="114" t="s">
        <v>345</v>
      </c>
      <c r="C66" s="71">
        <f>+C67</f>
        <v>336879</v>
      </c>
      <c r="D66" s="60">
        <f>+D67</f>
        <v>336879</v>
      </c>
      <c r="E66" s="61">
        <f>+E67</f>
        <v>0</v>
      </c>
      <c r="F66" s="62">
        <f>+F67</f>
        <v>0</v>
      </c>
    </row>
    <row r="67" spans="1:6" s="29" customFormat="1" ht="12.75" thickBot="1">
      <c r="A67" s="127" t="s">
        <v>9</v>
      </c>
      <c r="B67" s="108" t="s">
        <v>346</v>
      </c>
      <c r="C67" s="71">
        <f>+C68+C77+C78</f>
        <v>336879</v>
      </c>
      <c r="D67" s="60">
        <f>+D68+D77+D78</f>
        <v>336879</v>
      </c>
      <c r="E67" s="61">
        <f>+E68+E77+E78</f>
        <v>0</v>
      </c>
      <c r="F67" s="62">
        <f>+F68+F77+F78</f>
        <v>0</v>
      </c>
    </row>
    <row r="68" spans="1:6" ht="12">
      <c r="A68" s="128" t="s">
        <v>101</v>
      </c>
      <c r="B68" s="109" t="s">
        <v>347</v>
      </c>
      <c r="C68" s="63">
        <f>+C69+C70+C71+C72+C73+C74+C75+C76</f>
        <v>336879</v>
      </c>
      <c r="D68" s="68">
        <f>+D69+D70+D71+D72+D73+D74+D75+D76</f>
        <v>336879</v>
      </c>
      <c r="E68" s="38">
        <f>+E69+E70+E71+E72+E73+E74+E75+E76</f>
        <v>0</v>
      </c>
      <c r="F68" s="69">
        <f>+F69+F70+F71+F72+F73+F74+F75+F76</f>
        <v>0</v>
      </c>
    </row>
    <row r="69" spans="1:6" s="41" customFormat="1" ht="12">
      <c r="A69" s="130" t="s">
        <v>234</v>
      </c>
      <c r="B69" s="110" t="s">
        <v>284</v>
      </c>
      <c r="C69" s="51">
        <f aca="true" t="shared" si="4" ref="C69:C78">+D69+E69+F69</f>
        <v>0</v>
      </c>
      <c r="D69" s="47">
        <v>0</v>
      </c>
      <c r="E69" s="40">
        <v>0</v>
      </c>
      <c r="F69" s="43">
        <v>0</v>
      </c>
    </row>
    <row r="70" spans="1:6" s="41" customFormat="1" ht="12">
      <c r="A70" s="130" t="s">
        <v>235</v>
      </c>
      <c r="B70" s="110" t="s">
        <v>285</v>
      </c>
      <c r="C70" s="51">
        <f t="shared" si="4"/>
        <v>0</v>
      </c>
      <c r="D70" s="47">
        <v>0</v>
      </c>
      <c r="E70" s="40">
        <v>0</v>
      </c>
      <c r="F70" s="43">
        <v>0</v>
      </c>
    </row>
    <row r="71" spans="1:6" s="41" customFormat="1" ht="12">
      <c r="A71" s="130" t="s">
        <v>236</v>
      </c>
      <c r="B71" s="110" t="s">
        <v>286</v>
      </c>
      <c r="C71" s="51">
        <f t="shared" si="4"/>
        <v>0</v>
      </c>
      <c r="D71" s="47">
        <v>0</v>
      </c>
      <c r="E71" s="40">
        <v>0</v>
      </c>
      <c r="F71" s="43">
        <v>0</v>
      </c>
    </row>
    <row r="72" spans="1:6" s="41" customFormat="1" ht="12">
      <c r="A72" s="130" t="s">
        <v>237</v>
      </c>
      <c r="B72" s="110" t="s">
        <v>287</v>
      </c>
      <c r="C72" s="51">
        <f t="shared" si="4"/>
        <v>0</v>
      </c>
      <c r="D72" s="47">
        <v>0</v>
      </c>
      <c r="E72" s="40">
        <v>0</v>
      </c>
      <c r="F72" s="43">
        <v>0</v>
      </c>
    </row>
    <row r="73" spans="1:6" s="41" customFormat="1" ht="12">
      <c r="A73" s="130" t="s">
        <v>238</v>
      </c>
      <c r="B73" s="110" t="s">
        <v>288</v>
      </c>
      <c r="C73" s="51">
        <f t="shared" si="4"/>
        <v>0</v>
      </c>
      <c r="D73" s="47">
        <v>0</v>
      </c>
      <c r="E73" s="40">
        <v>0</v>
      </c>
      <c r="F73" s="43">
        <v>0</v>
      </c>
    </row>
    <row r="74" spans="1:6" s="41" customFormat="1" ht="12">
      <c r="A74" s="130" t="s">
        <v>239</v>
      </c>
      <c r="B74" s="110" t="s">
        <v>289</v>
      </c>
      <c r="C74" s="51">
        <f t="shared" si="4"/>
        <v>336879</v>
      </c>
      <c r="D74" s="47">
        <v>336879</v>
      </c>
      <c r="E74" s="40">
        <v>0</v>
      </c>
      <c r="F74" s="43">
        <v>0</v>
      </c>
    </row>
    <row r="75" spans="1:6" s="41" customFormat="1" ht="12">
      <c r="A75" s="130" t="s">
        <v>242</v>
      </c>
      <c r="B75" s="110" t="s">
        <v>290</v>
      </c>
      <c r="C75" s="51">
        <f t="shared" si="4"/>
        <v>0</v>
      </c>
      <c r="D75" s="47">
        <v>0</v>
      </c>
      <c r="E75" s="40">
        <v>0</v>
      </c>
      <c r="F75" s="43">
        <v>0</v>
      </c>
    </row>
    <row r="76" spans="1:6" s="41" customFormat="1" ht="12">
      <c r="A76" s="130" t="s">
        <v>240</v>
      </c>
      <c r="B76" s="110" t="s">
        <v>283</v>
      </c>
      <c r="C76" s="51">
        <f t="shared" si="4"/>
        <v>0</v>
      </c>
      <c r="D76" s="47">
        <v>0</v>
      </c>
      <c r="E76" s="40">
        <v>0</v>
      </c>
      <c r="F76" s="43">
        <v>0</v>
      </c>
    </row>
    <row r="77" spans="1:6" ht="12">
      <c r="A77" s="129" t="s">
        <v>102</v>
      </c>
      <c r="B77" s="111" t="s">
        <v>281</v>
      </c>
      <c r="C77" s="50">
        <f t="shared" si="4"/>
        <v>0</v>
      </c>
      <c r="D77" s="48">
        <v>0</v>
      </c>
      <c r="E77" s="39">
        <v>0</v>
      </c>
      <c r="F77" s="44">
        <v>0</v>
      </c>
    </row>
    <row r="78" spans="1:6" ht="12.75" thickBot="1">
      <c r="A78" s="122" t="s">
        <v>241</v>
      </c>
      <c r="B78" s="112" t="s">
        <v>282</v>
      </c>
      <c r="C78" s="53">
        <f t="shared" si="4"/>
        <v>0</v>
      </c>
      <c r="D78" s="54">
        <v>0</v>
      </c>
      <c r="E78" s="55">
        <v>0</v>
      </c>
      <c r="F78" s="56">
        <v>0</v>
      </c>
    </row>
    <row r="79" spans="1:6" s="29" customFormat="1" ht="12.75" thickBot="1">
      <c r="A79" s="127" t="s">
        <v>73</v>
      </c>
      <c r="B79" s="114" t="s">
        <v>348</v>
      </c>
      <c r="C79" s="71">
        <f>+C80</f>
        <v>0</v>
      </c>
      <c r="D79" s="60">
        <f>+D80</f>
        <v>0</v>
      </c>
      <c r="E79" s="61">
        <f>+E80</f>
        <v>0</v>
      </c>
      <c r="F79" s="62">
        <f>+F80</f>
        <v>0</v>
      </c>
    </row>
    <row r="80" spans="1:6" s="29" customFormat="1" ht="12.75" thickBot="1">
      <c r="A80" s="127" t="s">
        <v>72</v>
      </c>
      <c r="B80" s="108" t="s">
        <v>349</v>
      </c>
      <c r="C80" s="71">
        <f>+C81+C90+C91</f>
        <v>0</v>
      </c>
      <c r="D80" s="60">
        <f>+D81+D90+D91</f>
        <v>0</v>
      </c>
      <c r="E80" s="61">
        <f>+E81+E90+E91</f>
        <v>0</v>
      </c>
      <c r="F80" s="62">
        <f>+F81+F90+F91</f>
        <v>0</v>
      </c>
    </row>
    <row r="81" spans="1:6" ht="12">
      <c r="A81" s="128" t="s">
        <v>270</v>
      </c>
      <c r="B81" s="109" t="s">
        <v>350</v>
      </c>
      <c r="C81" s="63">
        <f>+C82+C83+C84+C85+C86+C87+C88+C89</f>
        <v>0</v>
      </c>
      <c r="D81" s="68">
        <f>+D82+D83+D84+D85+D86+D87+D88+D89</f>
        <v>0</v>
      </c>
      <c r="E81" s="38">
        <f>+E82+E83+E84+E85+E86+E87+E88+E89</f>
        <v>0</v>
      </c>
      <c r="F81" s="69">
        <f>+F82+F83+F84+F85+F86+F87+F88+F89</f>
        <v>0</v>
      </c>
    </row>
    <row r="82" spans="1:6" s="41" customFormat="1" ht="12">
      <c r="A82" s="130" t="s">
        <v>271</v>
      </c>
      <c r="B82" s="110" t="s">
        <v>284</v>
      </c>
      <c r="C82" s="51">
        <f aca="true" t="shared" si="5" ref="C82:C91">+D82+E82+F82</f>
        <v>0</v>
      </c>
      <c r="D82" s="47">
        <v>0</v>
      </c>
      <c r="E82" s="40">
        <v>0</v>
      </c>
      <c r="F82" s="43">
        <v>0</v>
      </c>
    </row>
    <row r="83" spans="1:6" s="41" customFormat="1" ht="12">
      <c r="A83" s="130" t="s">
        <v>272</v>
      </c>
      <c r="B83" s="110" t="s">
        <v>285</v>
      </c>
      <c r="C83" s="51">
        <f t="shared" si="5"/>
        <v>0</v>
      </c>
      <c r="D83" s="47">
        <v>0</v>
      </c>
      <c r="E83" s="40">
        <v>0</v>
      </c>
      <c r="F83" s="43">
        <v>0</v>
      </c>
    </row>
    <row r="84" spans="1:6" s="41" customFormat="1" ht="12">
      <c r="A84" s="130" t="s">
        <v>273</v>
      </c>
      <c r="B84" s="110" t="s">
        <v>286</v>
      </c>
      <c r="C84" s="51">
        <f t="shared" si="5"/>
        <v>0</v>
      </c>
      <c r="D84" s="47">
        <v>0</v>
      </c>
      <c r="E84" s="40">
        <v>0</v>
      </c>
      <c r="F84" s="43">
        <v>0</v>
      </c>
    </row>
    <row r="85" spans="1:6" s="41" customFormat="1" ht="12">
      <c r="A85" s="130" t="s">
        <v>274</v>
      </c>
      <c r="B85" s="110" t="s">
        <v>287</v>
      </c>
      <c r="C85" s="51">
        <f t="shared" si="5"/>
        <v>0</v>
      </c>
      <c r="D85" s="47">
        <v>0</v>
      </c>
      <c r="E85" s="40">
        <v>0</v>
      </c>
      <c r="F85" s="43">
        <v>0</v>
      </c>
    </row>
    <row r="86" spans="1:6" s="41" customFormat="1" ht="12">
      <c r="A86" s="130" t="s">
        <v>275</v>
      </c>
      <c r="B86" s="110" t="s">
        <v>288</v>
      </c>
      <c r="C86" s="51">
        <f t="shared" si="5"/>
        <v>0</v>
      </c>
      <c r="D86" s="47">
        <v>0</v>
      </c>
      <c r="E86" s="40">
        <v>0</v>
      </c>
      <c r="F86" s="43">
        <v>0</v>
      </c>
    </row>
    <row r="87" spans="1:6" s="41" customFormat="1" ht="12">
      <c r="A87" s="130" t="s">
        <v>276</v>
      </c>
      <c r="B87" s="110" t="s">
        <v>289</v>
      </c>
      <c r="C87" s="51">
        <f t="shared" si="5"/>
        <v>0</v>
      </c>
      <c r="D87" s="47">
        <v>0</v>
      </c>
      <c r="E87" s="40">
        <v>0</v>
      </c>
      <c r="F87" s="43">
        <v>0</v>
      </c>
    </row>
    <row r="88" spans="1:6" s="41" customFormat="1" ht="12">
      <c r="A88" s="130" t="s">
        <v>277</v>
      </c>
      <c r="B88" s="110" t="s">
        <v>290</v>
      </c>
      <c r="C88" s="51">
        <f t="shared" si="5"/>
        <v>0</v>
      </c>
      <c r="D88" s="47">
        <v>0</v>
      </c>
      <c r="E88" s="40">
        <v>0</v>
      </c>
      <c r="F88" s="43">
        <v>0</v>
      </c>
    </row>
    <row r="89" spans="1:6" s="41" customFormat="1" ht="12">
      <c r="A89" s="130" t="s">
        <v>278</v>
      </c>
      <c r="B89" s="110" t="s">
        <v>283</v>
      </c>
      <c r="C89" s="51">
        <f t="shared" si="5"/>
        <v>0</v>
      </c>
      <c r="D89" s="47">
        <v>0</v>
      </c>
      <c r="E89" s="40">
        <v>0</v>
      </c>
      <c r="F89" s="43">
        <v>0</v>
      </c>
    </row>
    <row r="90" spans="1:6" ht="12">
      <c r="A90" s="129" t="s">
        <v>279</v>
      </c>
      <c r="B90" s="111" t="s">
        <v>281</v>
      </c>
      <c r="C90" s="50">
        <f t="shared" si="5"/>
        <v>0</v>
      </c>
      <c r="D90" s="48">
        <v>0</v>
      </c>
      <c r="E90" s="39">
        <v>0</v>
      </c>
      <c r="F90" s="44">
        <v>0</v>
      </c>
    </row>
    <row r="91" spans="1:6" ht="12.75" thickBot="1">
      <c r="A91" s="122" t="s">
        <v>280</v>
      </c>
      <c r="B91" s="112" t="s">
        <v>282</v>
      </c>
      <c r="C91" s="53">
        <f t="shared" si="5"/>
        <v>0</v>
      </c>
      <c r="D91" s="54">
        <v>0</v>
      </c>
      <c r="E91" s="55">
        <v>0</v>
      </c>
      <c r="F91" s="56">
        <v>0</v>
      </c>
    </row>
    <row r="92" spans="1:6" s="29" customFormat="1" ht="12.75" thickBot="1">
      <c r="A92" s="127" t="s">
        <v>71</v>
      </c>
      <c r="B92" s="113" t="s">
        <v>351</v>
      </c>
      <c r="C92" s="71">
        <f>+C66+C79</f>
        <v>336879</v>
      </c>
      <c r="D92" s="60">
        <f>+D66+D79</f>
        <v>336879</v>
      </c>
      <c r="E92" s="61">
        <f>+E66+E79</f>
        <v>0</v>
      </c>
      <c r="F92" s="62">
        <f>+F66+F79</f>
        <v>0</v>
      </c>
    </row>
    <row r="93" spans="1:6" s="29" customFormat="1" ht="12.75" thickBot="1">
      <c r="A93" s="131" t="s">
        <v>68</v>
      </c>
      <c r="B93" s="115" t="s">
        <v>352</v>
      </c>
      <c r="C93" s="72">
        <f>+C65+C92</f>
        <v>366428</v>
      </c>
      <c r="D93" s="57">
        <f>+D65+D92</f>
        <v>366428</v>
      </c>
      <c r="E93" s="58">
        <f>+E65+E92</f>
        <v>0</v>
      </c>
      <c r="F93" s="59">
        <f>+F65+F92</f>
        <v>0</v>
      </c>
    </row>
    <row r="94" spans="1:6" s="29" customFormat="1" ht="12">
      <c r="A94" s="93"/>
      <c r="B94" s="64"/>
      <c r="C94" s="64"/>
      <c r="D94" s="64"/>
      <c r="E94" s="64"/>
      <c r="F94" s="64"/>
    </row>
    <row r="95" spans="1:6" s="29" customFormat="1" ht="12">
      <c r="A95" s="93"/>
      <c r="B95" s="64"/>
      <c r="C95" s="64"/>
      <c r="D95" s="64"/>
      <c r="E95" s="64"/>
      <c r="F95" s="64"/>
    </row>
    <row r="96" spans="1:6" s="92" customFormat="1" ht="15.75">
      <c r="A96" s="1298" t="s">
        <v>108</v>
      </c>
      <c r="B96" s="1298"/>
      <c r="C96" s="1298"/>
      <c r="D96" s="1298"/>
      <c r="E96" s="1298"/>
      <c r="F96" s="1298"/>
    </row>
    <row r="97" spans="1:6" s="73" customFormat="1" ht="12.75" thickBot="1">
      <c r="A97" s="75" t="s">
        <v>317</v>
      </c>
      <c r="F97" s="74" t="s">
        <v>319</v>
      </c>
    </row>
    <row r="98" spans="1:6" s="29" customFormat="1" ht="48.75" thickBot="1">
      <c r="A98" s="123" t="s">
        <v>17</v>
      </c>
      <c r="B98" s="124" t="s">
        <v>379</v>
      </c>
      <c r="C98" s="76" t="s">
        <v>419</v>
      </c>
      <c r="D98" s="32" t="s">
        <v>79</v>
      </c>
      <c r="E98" s="33" t="s">
        <v>80</v>
      </c>
      <c r="F98" s="34" t="s">
        <v>81</v>
      </c>
    </row>
    <row r="99" spans="1:6" s="29" customFormat="1" ht="12.75" thickBot="1">
      <c r="A99" s="125" t="s">
        <v>291</v>
      </c>
      <c r="B99" s="126" t="s">
        <v>292</v>
      </c>
      <c r="C99" s="1303" t="s">
        <v>293</v>
      </c>
      <c r="D99" s="1304"/>
      <c r="E99" s="1304"/>
      <c r="F99" s="1305"/>
    </row>
    <row r="100" spans="1:6" s="29" customFormat="1" ht="12.75" thickBot="1">
      <c r="A100" s="127" t="s">
        <v>4</v>
      </c>
      <c r="B100" s="113" t="s">
        <v>353</v>
      </c>
      <c r="C100" s="71">
        <f>+C101+C105+C107+C114+C123</f>
        <v>366428</v>
      </c>
      <c r="D100" s="60">
        <f>+D101+D105+D107+D114+D123</f>
        <v>366428</v>
      </c>
      <c r="E100" s="61">
        <f>+E101+E105+E107+E114+E123</f>
        <v>0</v>
      </c>
      <c r="F100" s="62">
        <f>+F101+F105+F107+F114+F123</f>
        <v>0</v>
      </c>
    </row>
    <row r="101" spans="1:6" s="29" customFormat="1" ht="12.75" thickBot="1">
      <c r="A101" s="127" t="s">
        <v>5</v>
      </c>
      <c r="B101" s="108" t="s">
        <v>354</v>
      </c>
      <c r="C101" s="71">
        <f>+C103+C104</f>
        <v>170347</v>
      </c>
      <c r="D101" s="60">
        <f>+D103+D104</f>
        <v>170347</v>
      </c>
      <c r="E101" s="61">
        <f>+E103+E104</f>
        <v>0</v>
      </c>
      <c r="F101" s="62">
        <f>+F103+F104</f>
        <v>0</v>
      </c>
    </row>
    <row r="102" spans="1:6" s="73" customFormat="1" ht="12">
      <c r="A102" s="140" t="s">
        <v>406</v>
      </c>
      <c r="B102" s="141" t="s">
        <v>407</v>
      </c>
      <c r="C102" s="142">
        <f>+D102+E102+F102</f>
        <v>0</v>
      </c>
      <c r="D102" s="143">
        <v>0</v>
      </c>
      <c r="E102" s="144">
        <v>0</v>
      </c>
      <c r="F102" s="145">
        <v>0</v>
      </c>
    </row>
    <row r="103" spans="1:6" ht="12">
      <c r="A103" s="128" t="s">
        <v>82</v>
      </c>
      <c r="B103" s="109" t="s">
        <v>163</v>
      </c>
      <c r="C103" s="63">
        <f>+D103+E103+F103</f>
        <v>169874</v>
      </c>
      <c r="D103" s="68">
        <v>169874</v>
      </c>
      <c r="E103" s="38">
        <v>0</v>
      </c>
      <c r="F103" s="69">
        <v>0</v>
      </c>
    </row>
    <row r="104" spans="1:6" ht="12.75" thickBot="1">
      <c r="A104" s="122" t="s">
        <v>83</v>
      </c>
      <c r="B104" s="112" t="s">
        <v>164</v>
      </c>
      <c r="C104" s="53">
        <f>+D104+E104+F104</f>
        <v>473</v>
      </c>
      <c r="D104" s="54">
        <v>473</v>
      </c>
      <c r="E104" s="55">
        <v>0</v>
      </c>
      <c r="F104" s="56">
        <v>0</v>
      </c>
    </row>
    <row r="105" spans="1:6" s="29" customFormat="1" ht="12.75" thickBot="1">
      <c r="A105" s="127" t="s">
        <v>6</v>
      </c>
      <c r="B105" s="108" t="s">
        <v>294</v>
      </c>
      <c r="C105" s="71">
        <f>+D105+E105+F105</f>
        <v>44819</v>
      </c>
      <c r="D105" s="60">
        <v>44819</v>
      </c>
      <c r="E105" s="61">
        <v>0</v>
      </c>
      <c r="F105" s="62">
        <v>0</v>
      </c>
    </row>
    <row r="106" spans="1:6" s="73" customFormat="1" ht="12.75" thickBot="1">
      <c r="A106" s="140" t="s">
        <v>403</v>
      </c>
      <c r="B106" s="141" t="s">
        <v>404</v>
      </c>
      <c r="C106" s="142">
        <f>+D106+E106+F106</f>
        <v>0</v>
      </c>
      <c r="D106" s="143">
        <v>0</v>
      </c>
      <c r="E106" s="144">
        <v>0</v>
      </c>
      <c r="F106" s="145">
        <v>0</v>
      </c>
    </row>
    <row r="107" spans="1:6" s="29" customFormat="1" ht="12.75" thickBot="1">
      <c r="A107" s="127" t="s">
        <v>3</v>
      </c>
      <c r="B107" s="108" t="s">
        <v>400</v>
      </c>
      <c r="C107" s="71">
        <f>+C109+C110+C111+C112+C113</f>
        <v>151262</v>
      </c>
      <c r="D107" s="60">
        <f>+D109+D110+D111+D112+D113</f>
        <v>151262</v>
      </c>
      <c r="E107" s="61">
        <f>+E109+E110+E111+E112+E113</f>
        <v>0</v>
      </c>
      <c r="F107" s="62">
        <f>+F109+F110+F111+F112+F113</f>
        <v>0</v>
      </c>
    </row>
    <row r="108" spans="1:6" s="73" customFormat="1" ht="12">
      <c r="A108" s="140" t="s">
        <v>398</v>
      </c>
      <c r="B108" s="141" t="s">
        <v>405</v>
      </c>
      <c r="C108" s="142">
        <f aca="true" t="shared" si="6" ref="C108:C113">+D108+E108+F108</f>
        <v>0</v>
      </c>
      <c r="D108" s="143">
        <v>0</v>
      </c>
      <c r="E108" s="144">
        <v>0</v>
      </c>
      <c r="F108" s="145">
        <v>0</v>
      </c>
    </row>
    <row r="109" spans="1:6" ht="12">
      <c r="A109" s="128" t="s">
        <v>89</v>
      </c>
      <c r="B109" s="109" t="s">
        <v>165</v>
      </c>
      <c r="C109" s="63">
        <f t="shared" si="6"/>
        <v>4225</v>
      </c>
      <c r="D109" s="68">
        <v>4225</v>
      </c>
      <c r="E109" s="38">
        <v>0</v>
      </c>
      <c r="F109" s="69">
        <v>0</v>
      </c>
    </row>
    <row r="110" spans="1:6" ht="12">
      <c r="A110" s="129" t="s">
        <v>90</v>
      </c>
      <c r="B110" s="111" t="s">
        <v>166</v>
      </c>
      <c r="C110" s="50">
        <f t="shared" si="6"/>
        <v>2708</v>
      </c>
      <c r="D110" s="48">
        <v>2708</v>
      </c>
      <c r="E110" s="39">
        <v>0</v>
      </c>
      <c r="F110" s="44">
        <v>0</v>
      </c>
    </row>
    <row r="111" spans="1:6" ht="12">
      <c r="A111" s="129" t="s">
        <v>91</v>
      </c>
      <c r="B111" s="111" t="s">
        <v>167</v>
      </c>
      <c r="C111" s="50">
        <f t="shared" si="6"/>
        <v>106228</v>
      </c>
      <c r="D111" s="48">
        <v>106228</v>
      </c>
      <c r="E111" s="39">
        <v>0</v>
      </c>
      <c r="F111" s="44">
        <v>0</v>
      </c>
    </row>
    <row r="112" spans="1:6" ht="12">
      <c r="A112" s="129" t="s">
        <v>92</v>
      </c>
      <c r="B112" s="111" t="s">
        <v>168</v>
      </c>
      <c r="C112" s="50">
        <f t="shared" si="6"/>
        <v>360</v>
      </c>
      <c r="D112" s="48">
        <v>360</v>
      </c>
      <c r="E112" s="39">
        <v>0</v>
      </c>
      <c r="F112" s="44">
        <v>0</v>
      </c>
    </row>
    <row r="113" spans="1:6" ht="12.75" thickBot="1">
      <c r="A113" s="122" t="s">
        <v>93</v>
      </c>
      <c r="B113" s="112" t="s">
        <v>169</v>
      </c>
      <c r="C113" s="53">
        <f t="shared" si="6"/>
        <v>37741</v>
      </c>
      <c r="D113" s="54">
        <v>37741</v>
      </c>
      <c r="E113" s="55">
        <v>0</v>
      </c>
      <c r="F113" s="56">
        <v>0</v>
      </c>
    </row>
    <row r="114" spans="1:6" s="29" customFormat="1" ht="12.75" thickBot="1">
      <c r="A114" s="127" t="s">
        <v>16</v>
      </c>
      <c r="B114" s="108" t="s">
        <v>355</v>
      </c>
      <c r="C114" s="71">
        <f>+C115+C116+C117+C118+C119+C120+C121+C122</f>
        <v>0</v>
      </c>
      <c r="D114" s="60">
        <f>+D115+D116+D117+D118+D119+D120+D121+D122</f>
        <v>0</v>
      </c>
      <c r="E114" s="61">
        <f>+E115+E116+E117+E118+E119+E120+E121+E122</f>
        <v>0</v>
      </c>
      <c r="F114" s="62">
        <f>+F115+F116+F117+F118+F119+F120+F121+F122</f>
        <v>0</v>
      </c>
    </row>
    <row r="115" spans="1:6" ht="12">
      <c r="A115" s="128" t="s">
        <v>265</v>
      </c>
      <c r="B115" s="109" t="s">
        <v>170</v>
      </c>
      <c r="C115" s="63">
        <f aca="true" t="shared" si="7" ref="C115:C122">+D115+E115+F115</f>
        <v>0</v>
      </c>
      <c r="D115" s="68">
        <v>0</v>
      </c>
      <c r="E115" s="38">
        <v>0</v>
      </c>
      <c r="F115" s="69">
        <v>0</v>
      </c>
    </row>
    <row r="116" spans="1:6" ht="12">
      <c r="A116" s="129" t="s">
        <v>266</v>
      </c>
      <c r="B116" s="111" t="s">
        <v>171</v>
      </c>
      <c r="C116" s="50">
        <f t="shared" si="7"/>
        <v>0</v>
      </c>
      <c r="D116" s="48">
        <v>0</v>
      </c>
      <c r="E116" s="39">
        <v>0</v>
      </c>
      <c r="F116" s="44">
        <v>0</v>
      </c>
    </row>
    <row r="117" spans="1:6" ht="12">
      <c r="A117" s="129" t="s">
        <v>267</v>
      </c>
      <c r="B117" s="111" t="s">
        <v>172</v>
      </c>
      <c r="C117" s="50">
        <f t="shared" si="7"/>
        <v>0</v>
      </c>
      <c r="D117" s="48">
        <v>0</v>
      </c>
      <c r="E117" s="39">
        <v>0</v>
      </c>
      <c r="F117" s="44">
        <v>0</v>
      </c>
    </row>
    <row r="118" spans="1:6" ht="12">
      <c r="A118" s="129" t="s">
        <v>295</v>
      </c>
      <c r="B118" s="111" t="s">
        <v>173</v>
      </c>
      <c r="C118" s="50">
        <f t="shared" si="7"/>
        <v>0</v>
      </c>
      <c r="D118" s="48">
        <v>0</v>
      </c>
      <c r="E118" s="39">
        <v>0</v>
      </c>
      <c r="F118" s="44">
        <v>0</v>
      </c>
    </row>
    <row r="119" spans="1:6" ht="12">
      <c r="A119" s="129" t="s">
        <v>296</v>
      </c>
      <c r="B119" s="111" t="s">
        <v>174</v>
      </c>
      <c r="C119" s="50">
        <f t="shared" si="7"/>
        <v>0</v>
      </c>
      <c r="D119" s="48">
        <v>0</v>
      </c>
      <c r="E119" s="39">
        <v>0</v>
      </c>
      <c r="F119" s="44">
        <v>0</v>
      </c>
    </row>
    <row r="120" spans="1:6" ht="12">
      <c r="A120" s="129" t="s">
        <v>297</v>
      </c>
      <c r="B120" s="111" t="s">
        <v>175</v>
      </c>
      <c r="C120" s="50">
        <f t="shared" si="7"/>
        <v>0</v>
      </c>
      <c r="D120" s="48">
        <v>0</v>
      </c>
      <c r="E120" s="39">
        <v>0</v>
      </c>
      <c r="F120" s="44">
        <v>0</v>
      </c>
    </row>
    <row r="121" spans="1:6" ht="12">
      <c r="A121" s="129" t="s">
        <v>298</v>
      </c>
      <c r="B121" s="111" t="s">
        <v>176</v>
      </c>
      <c r="C121" s="50">
        <f t="shared" si="7"/>
        <v>0</v>
      </c>
      <c r="D121" s="48">
        <v>0</v>
      </c>
      <c r="E121" s="39">
        <v>0</v>
      </c>
      <c r="F121" s="44">
        <v>0</v>
      </c>
    </row>
    <row r="122" spans="1:6" ht="12.75" thickBot="1">
      <c r="A122" s="122" t="s">
        <v>299</v>
      </c>
      <c r="B122" s="112" t="s">
        <v>177</v>
      </c>
      <c r="C122" s="53">
        <f t="shared" si="7"/>
        <v>0</v>
      </c>
      <c r="D122" s="54">
        <v>0</v>
      </c>
      <c r="E122" s="55">
        <v>0</v>
      </c>
      <c r="F122" s="56">
        <v>0</v>
      </c>
    </row>
    <row r="123" spans="1:6" s="29" customFormat="1" ht="12.75" thickBot="1">
      <c r="A123" s="127" t="s">
        <v>15</v>
      </c>
      <c r="B123" s="108" t="s">
        <v>356</v>
      </c>
      <c r="C123" s="71">
        <f>+C124+C125+C126+C127+C128+C129+C131+C132+C133+C134+C135+C136</f>
        <v>0</v>
      </c>
      <c r="D123" s="60">
        <f>+D124+D125+D126+D127+D128+D129+D131+D132+D133+D134+D135+D136</f>
        <v>0</v>
      </c>
      <c r="E123" s="61">
        <f>+E124+E125+E126+E127+E128+E129+E131+E132+E133+E134+E135+E136</f>
        <v>0</v>
      </c>
      <c r="F123" s="62">
        <f>+F124+F125+F126+F127+F128+F129+F131+F132+F133+F134+F135+F136</f>
        <v>0</v>
      </c>
    </row>
    <row r="124" spans="1:6" ht="12">
      <c r="A124" s="128" t="s">
        <v>115</v>
      </c>
      <c r="B124" s="109" t="s">
        <v>178</v>
      </c>
      <c r="C124" s="63">
        <f aca="true" t="shared" si="8" ref="C124:C135">+D124+E124+F124</f>
        <v>0</v>
      </c>
      <c r="D124" s="68">
        <v>0</v>
      </c>
      <c r="E124" s="38">
        <v>0</v>
      </c>
      <c r="F124" s="69">
        <v>0</v>
      </c>
    </row>
    <row r="125" spans="1:6" ht="12">
      <c r="A125" s="129" t="s">
        <v>116</v>
      </c>
      <c r="B125" s="111" t="s">
        <v>179</v>
      </c>
      <c r="C125" s="50">
        <f t="shared" si="8"/>
        <v>0</v>
      </c>
      <c r="D125" s="48">
        <v>0</v>
      </c>
      <c r="E125" s="39">
        <v>0</v>
      </c>
      <c r="F125" s="44">
        <v>0</v>
      </c>
    </row>
    <row r="126" spans="1:6" ht="12">
      <c r="A126" s="129" t="s">
        <v>220</v>
      </c>
      <c r="B126" s="111" t="s">
        <v>180</v>
      </c>
      <c r="C126" s="50">
        <f t="shared" si="8"/>
        <v>0</v>
      </c>
      <c r="D126" s="48">
        <v>0</v>
      </c>
      <c r="E126" s="39">
        <v>0</v>
      </c>
      <c r="F126" s="44">
        <v>0</v>
      </c>
    </row>
    <row r="127" spans="1:6" ht="12">
      <c r="A127" s="129" t="s">
        <v>221</v>
      </c>
      <c r="B127" s="111" t="s">
        <v>181</v>
      </c>
      <c r="C127" s="50">
        <f t="shared" si="8"/>
        <v>0</v>
      </c>
      <c r="D127" s="48">
        <v>0</v>
      </c>
      <c r="E127" s="39">
        <v>0</v>
      </c>
      <c r="F127" s="44">
        <v>0</v>
      </c>
    </row>
    <row r="128" spans="1:6" ht="12">
      <c r="A128" s="129" t="s">
        <v>222</v>
      </c>
      <c r="B128" s="111" t="s">
        <v>182</v>
      </c>
      <c r="C128" s="50">
        <f t="shared" si="8"/>
        <v>0</v>
      </c>
      <c r="D128" s="48">
        <v>0</v>
      </c>
      <c r="E128" s="39">
        <v>0</v>
      </c>
      <c r="F128" s="44">
        <v>0</v>
      </c>
    </row>
    <row r="129" spans="1:6" ht="12">
      <c r="A129" s="129" t="s">
        <v>300</v>
      </c>
      <c r="B129" s="111" t="s">
        <v>183</v>
      </c>
      <c r="C129" s="50">
        <f t="shared" si="8"/>
        <v>0</v>
      </c>
      <c r="D129" s="48">
        <v>0</v>
      </c>
      <c r="E129" s="39">
        <v>0</v>
      </c>
      <c r="F129" s="44">
        <v>0</v>
      </c>
    </row>
    <row r="130" spans="1:6" s="41" customFormat="1" ht="12">
      <c r="A130" s="133" t="s">
        <v>392</v>
      </c>
      <c r="B130" s="106" t="s">
        <v>393</v>
      </c>
      <c r="C130" s="85">
        <f t="shared" si="8"/>
        <v>0</v>
      </c>
      <c r="D130" s="83">
        <v>0</v>
      </c>
      <c r="E130" s="81">
        <v>0</v>
      </c>
      <c r="F130" s="82">
        <v>0</v>
      </c>
    </row>
    <row r="131" spans="1:6" ht="12">
      <c r="A131" s="129" t="s">
        <v>301</v>
      </c>
      <c r="B131" s="111" t="s">
        <v>184</v>
      </c>
      <c r="C131" s="50">
        <f t="shared" si="8"/>
        <v>0</v>
      </c>
      <c r="D131" s="48">
        <v>0</v>
      </c>
      <c r="E131" s="39">
        <v>0</v>
      </c>
      <c r="F131" s="44">
        <v>0</v>
      </c>
    </row>
    <row r="132" spans="1:6" ht="12">
      <c r="A132" s="129" t="s">
        <v>302</v>
      </c>
      <c r="B132" s="111" t="s">
        <v>185</v>
      </c>
      <c r="C132" s="50">
        <f t="shared" si="8"/>
        <v>0</v>
      </c>
      <c r="D132" s="48">
        <v>0</v>
      </c>
      <c r="E132" s="39">
        <v>0</v>
      </c>
      <c r="F132" s="44">
        <v>0</v>
      </c>
    </row>
    <row r="133" spans="1:6" ht="12">
      <c r="A133" s="129" t="s">
        <v>303</v>
      </c>
      <c r="B133" s="111" t="s">
        <v>186</v>
      </c>
      <c r="C133" s="50">
        <f t="shared" si="8"/>
        <v>0</v>
      </c>
      <c r="D133" s="48">
        <v>0</v>
      </c>
      <c r="E133" s="39">
        <v>0</v>
      </c>
      <c r="F133" s="44">
        <v>0</v>
      </c>
    </row>
    <row r="134" spans="1:6" ht="12">
      <c r="A134" s="129" t="s">
        <v>304</v>
      </c>
      <c r="B134" s="111" t="s">
        <v>187</v>
      </c>
      <c r="C134" s="50">
        <f t="shared" si="8"/>
        <v>0</v>
      </c>
      <c r="D134" s="48">
        <v>0</v>
      </c>
      <c r="E134" s="39">
        <v>0</v>
      </c>
      <c r="F134" s="44">
        <v>0</v>
      </c>
    </row>
    <row r="135" spans="1:6" ht="12">
      <c r="A135" s="129" t="s">
        <v>305</v>
      </c>
      <c r="B135" s="111" t="s">
        <v>188</v>
      </c>
      <c r="C135" s="50">
        <f t="shared" si="8"/>
        <v>0</v>
      </c>
      <c r="D135" s="48">
        <v>0</v>
      </c>
      <c r="E135" s="39">
        <v>0</v>
      </c>
      <c r="F135" s="44">
        <v>0</v>
      </c>
    </row>
    <row r="136" spans="1:6" ht="12">
      <c r="A136" s="122" t="s">
        <v>306</v>
      </c>
      <c r="B136" s="112" t="s">
        <v>390</v>
      </c>
      <c r="C136" s="53">
        <f>+C137+C138</f>
        <v>0</v>
      </c>
      <c r="D136" s="54">
        <f>+D137+D138</f>
        <v>0</v>
      </c>
      <c r="E136" s="55">
        <f>+E137+E138</f>
        <v>0</v>
      </c>
      <c r="F136" s="56">
        <f>+F137+F138</f>
        <v>0</v>
      </c>
    </row>
    <row r="137" spans="1:6" s="41" customFormat="1" ht="12">
      <c r="A137" s="133" t="s">
        <v>387</v>
      </c>
      <c r="B137" s="118" t="s">
        <v>389</v>
      </c>
      <c r="C137" s="85">
        <f>+D137+E137+F137</f>
        <v>0</v>
      </c>
      <c r="D137" s="83">
        <v>0</v>
      </c>
      <c r="E137" s="81">
        <v>0</v>
      </c>
      <c r="F137" s="82">
        <v>0</v>
      </c>
    </row>
    <row r="138" spans="1:6" s="41" customFormat="1" ht="12.75" thickBot="1">
      <c r="A138" s="133" t="s">
        <v>388</v>
      </c>
      <c r="B138" s="118" t="s">
        <v>397</v>
      </c>
      <c r="C138" s="85">
        <f>+D138+E138+F138</f>
        <v>0</v>
      </c>
      <c r="D138" s="83">
        <v>0</v>
      </c>
      <c r="E138" s="81">
        <v>0</v>
      </c>
      <c r="F138" s="82">
        <v>0</v>
      </c>
    </row>
    <row r="139" spans="1:6" s="29" customFormat="1" ht="12.75" thickBot="1">
      <c r="A139" s="127" t="s">
        <v>14</v>
      </c>
      <c r="B139" s="113" t="s">
        <v>357</v>
      </c>
      <c r="C139" s="71">
        <f>+C140+C149+C155</f>
        <v>0</v>
      </c>
      <c r="D139" s="60">
        <f>+D140+D149+D155</f>
        <v>0</v>
      </c>
      <c r="E139" s="61">
        <f>+E140+E149+E155</f>
        <v>0</v>
      </c>
      <c r="F139" s="62">
        <f>+F140+F149+F155</f>
        <v>0</v>
      </c>
    </row>
    <row r="140" spans="1:6" s="29" customFormat="1" ht="12.75" thickBot="1">
      <c r="A140" s="127" t="s">
        <v>13</v>
      </c>
      <c r="B140" s="108" t="s">
        <v>358</v>
      </c>
      <c r="C140" s="71">
        <f>+C142+C143+C144+C145+C146+C147+C148</f>
        <v>0</v>
      </c>
      <c r="D140" s="60">
        <f>+D142+D143+D144+D145+D146+D147+D148</f>
        <v>0</v>
      </c>
      <c r="E140" s="61">
        <f>+E142+E143+E144+E145+E146+E147+E148</f>
        <v>0</v>
      </c>
      <c r="F140" s="62">
        <f>+F142+F143+F144+F145+F146+F147+F148</f>
        <v>0</v>
      </c>
    </row>
    <row r="141" spans="1:6" s="73" customFormat="1" ht="12">
      <c r="A141" s="140" t="s">
        <v>398</v>
      </c>
      <c r="B141" s="141" t="s">
        <v>399</v>
      </c>
      <c r="C141" s="142">
        <f aca="true" t="shared" si="9" ref="C141:C148">+D141+E141+F141</f>
        <v>0</v>
      </c>
      <c r="D141" s="143">
        <v>0</v>
      </c>
      <c r="E141" s="144">
        <v>0</v>
      </c>
      <c r="F141" s="145">
        <v>0</v>
      </c>
    </row>
    <row r="142" spans="1:6" ht="12">
      <c r="A142" s="128" t="s">
        <v>94</v>
      </c>
      <c r="B142" s="109" t="s">
        <v>189</v>
      </c>
      <c r="C142" s="63">
        <f t="shared" si="9"/>
        <v>0</v>
      </c>
      <c r="D142" s="68">
        <v>0</v>
      </c>
      <c r="E142" s="38">
        <v>0</v>
      </c>
      <c r="F142" s="69">
        <v>0</v>
      </c>
    </row>
    <row r="143" spans="1:6" ht="12">
      <c r="A143" s="129" t="s">
        <v>95</v>
      </c>
      <c r="B143" s="111" t="s">
        <v>190</v>
      </c>
      <c r="C143" s="50">
        <f t="shared" si="9"/>
        <v>0</v>
      </c>
      <c r="D143" s="48">
        <v>0</v>
      </c>
      <c r="E143" s="39">
        <v>0</v>
      </c>
      <c r="F143" s="44">
        <v>0</v>
      </c>
    </row>
    <row r="144" spans="1:6" ht="12">
      <c r="A144" s="129" t="s">
        <v>96</v>
      </c>
      <c r="B144" s="111" t="s">
        <v>191</v>
      </c>
      <c r="C144" s="50">
        <f t="shared" si="9"/>
        <v>0</v>
      </c>
      <c r="D144" s="48">
        <v>0</v>
      </c>
      <c r="E144" s="39">
        <v>0</v>
      </c>
      <c r="F144" s="44">
        <v>0</v>
      </c>
    </row>
    <row r="145" spans="1:6" ht="12">
      <c r="A145" s="129" t="s">
        <v>268</v>
      </c>
      <c r="B145" s="111" t="s">
        <v>192</v>
      </c>
      <c r="C145" s="50">
        <f t="shared" si="9"/>
        <v>0</v>
      </c>
      <c r="D145" s="48">
        <v>0</v>
      </c>
      <c r="E145" s="39">
        <v>0</v>
      </c>
      <c r="F145" s="44">
        <v>0</v>
      </c>
    </row>
    <row r="146" spans="1:6" ht="12">
      <c r="A146" s="129" t="s">
        <v>269</v>
      </c>
      <c r="B146" s="111" t="s">
        <v>193</v>
      </c>
      <c r="C146" s="50">
        <f t="shared" si="9"/>
        <v>0</v>
      </c>
      <c r="D146" s="48">
        <v>0</v>
      </c>
      <c r="E146" s="39">
        <v>0</v>
      </c>
      <c r="F146" s="44">
        <v>0</v>
      </c>
    </row>
    <row r="147" spans="1:6" ht="12">
      <c r="A147" s="129" t="s">
        <v>307</v>
      </c>
      <c r="B147" s="111" t="s">
        <v>194</v>
      </c>
      <c r="C147" s="50">
        <f t="shared" si="9"/>
        <v>0</v>
      </c>
      <c r="D147" s="48">
        <v>0</v>
      </c>
      <c r="E147" s="39">
        <v>0</v>
      </c>
      <c r="F147" s="44">
        <v>0</v>
      </c>
    </row>
    <row r="148" spans="1:6" ht="12.75" thickBot="1">
      <c r="A148" s="122" t="s">
        <v>308</v>
      </c>
      <c r="B148" s="112" t="s">
        <v>195</v>
      </c>
      <c r="C148" s="53">
        <f t="shared" si="9"/>
        <v>0</v>
      </c>
      <c r="D148" s="54">
        <v>0</v>
      </c>
      <c r="E148" s="55">
        <v>0</v>
      </c>
      <c r="F148" s="56">
        <v>0</v>
      </c>
    </row>
    <row r="149" spans="1:6" s="29" customFormat="1" ht="12.75" thickBot="1">
      <c r="A149" s="127" t="s">
        <v>12</v>
      </c>
      <c r="B149" s="108" t="s">
        <v>359</v>
      </c>
      <c r="C149" s="71">
        <f>+C151+C152+C153+C154</f>
        <v>0</v>
      </c>
      <c r="D149" s="60">
        <f>+D151+D152+D153+D154</f>
        <v>0</v>
      </c>
      <c r="E149" s="61">
        <f>+E151+E152+E153+E154</f>
        <v>0</v>
      </c>
      <c r="F149" s="62">
        <f>+F151+F152+F153+F154</f>
        <v>0</v>
      </c>
    </row>
    <row r="150" spans="1:6" s="73" customFormat="1" ht="12">
      <c r="A150" s="140" t="s">
        <v>401</v>
      </c>
      <c r="B150" s="141" t="s">
        <v>402</v>
      </c>
      <c r="C150" s="142">
        <f>+D150+E150+F150</f>
        <v>0</v>
      </c>
      <c r="D150" s="143">
        <v>0</v>
      </c>
      <c r="E150" s="144">
        <v>0</v>
      </c>
      <c r="F150" s="145">
        <v>0</v>
      </c>
    </row>
    <row r="151" spans="1:6" ht="12">
      <c r="A151" s="128" t="s">
        <v>97</v>
      </c>
      <c r="B151" s="109" t="s">
        <v>196</v>
      </c>
      <c r="C151" s="63">
        <f>+D151+E151+F151</f>
        <v>0</v>
      </c>
      <c r="D151" s="68">
        <v>0</v>
      </c>
      <c r="E151" s="38">
        <v>0</v>
      </c>
      <c r="F151" s="69">
        <v>0</v>
      </c>
    </row>
    <row r="152" spans="1:6" ht="12">
      <c r="A152" s="129" t="s">
        <v>98</v>
      </c>
      <c r="B152" s="111" t="s">
        <v>197</v>
      </c>
      <c r="C152" s="50">
        <f>+D152+E152+F152</f>
        <v>0</v>
      </c>
      <c r="D152" s="48">
        <v>0</v>
      </c>
      <c r="E152" s="39">
        <v>0</v>
      </c>
      <c r="F152" s="44">
        <v>0</v>
      </c>
    </row>
    <row r="153" spans="1:6" ht="12">
      <c r="A153" s="129" t="s">
        <v>99</v>
      </c>
      <c r="B153" s="111" t="s">
        <v>198</v>
      </c>
      <c r="C153" s="50">
        <f>+D153+E153+F153</f>
        <v>0</v>
      </c>
      <c r="D153" s="48">
        <v>0</v>
      </c>
      <c r="E153" s="39">
        <v>0</v>
      </c>
      <c r="F153" s="44">
        <v>0</v>
      </c>
    </row>
    <row r="154" spans="1:6" ht="12.75" thickBot="1">
      <c r="A154" s="122" t="s">
        <v>100</v>
      </c>
      <c r="B154" s="112" t="s">
        <v>199</v>
      </c>
      <c r="C154" s="53">
        <f>+D154+E154+F154</f>
        <v>0</v>
      </c>
      <c r="D154" s="54">
        <v>0</v>
      </c>
      <c r="E154" s="55">
        <v>0</v>
      </c>
      <c r="F154" s="56">
        <v>0</v>
      </c>
    </row>
    <row r="155" spans="1:6" s="29" customFormat="1" ht="12.75" thickBot="1">
      <c r="A155" s="127" t="s">
        <v>11</v>
      </c>
      <c r="B155" s="108" t="s">
        <v>360</v>
      </c>
      <c r="C155" s="71">
        <f>+C156+C157+C158+C159+C161+C162+C163+C164</f>
        <v>0</v>
      </c>
      <c r="D155" s="60">
        <f>+D156+D157+D158+D159+D161+D162+D163+D164</f>
        <v>0</v>
      </c>
      <c r="E155" s="61">
        <f>+E156+E157+E158+E159+E161+E162+E163+E164</f>
        <v>0</v>
      </c>
      <c r="F155" s="62">
        <f>+F156+F157+F158+F159+F161+F162+F163+F164</f>
        <v>0</v>
      </c>
    </row>
    <row r="156" spans="1:6" ht="12">
      <c r="A156" s="128" t="s">
        <v>309</v>
      </c>
      <c r="B156" s="109" t="s">
        <v>200</v>
      </c>
      <c r="C156" s="63">
        <f aca="true" t="shared" si="10" ref="C156:C164">+D156+E156+F156</f>
        <v>0</v>
      </c>
      <c r="D156" s="68">
        <v>0</v>
      </c>
      <c r="E156" s="38">
        <v>0</v>
      </c>
      <c r="F156" s="69">
        <v>0</v>
      </c>
    </row>
    <row r="157" spans="1:6" ht="12">
      <c r="A157" s="129" t="s">
        <v>310</v>
      </c>
      <c r="B157" s="111" t="s">
        <v>201</v>
      </c>
      <c r="C157" s="50">
        <f t="shared" si="10"/>
        <v>0</v>
      </c>
      <c r="D157" s="48">
        <v>0</v>
      </c>
      <c r="E157" s="39">
        <v>0</v>
      </c>
      <c r="F157" s="44">
        <v>0</v>
      </c>
    </row>
    <row r="158" spans="1:6" ht="12">
      <c r="A158" s="129" t="s">
        <v>311</v>
      </c>
      <c r="B158" s="111" t="s">
        <v>202</v>
      </c>
      <c r="C158" s="50">
        <f t="shared" si="10"/>
        <v>0</v>
      </c>
      <c r="D158" s="48">
        <v>0</v>
      </c>
      <c r="E158" s="39">
        <v>0</v>
      </c>
      <c r="F158" s="44">
        <v>0</v>
      </c>
    </row>
    <row r="159" spans="1:6" ht="12">
      <c r="A159" s="129" t="s">
        <v>312</v>
      </c>
      <c r="B159" s="111" t="s">
        <v>203</v>
      </c>
      <c r="C159" s="50">
        <f t="shared" si="10"/>
        <v>0</v>
      </c>
      <c r="D159" s="48">
        <v>0</v>
      </c>
      <c r="E159" s="39">
        <v>0</v>
      </c>
      <c r="F159" s="44">
        <v>0</v>
      </c>
    </row>
    <row r="160" spans="1:6" s="41" customFormat="1" ht="12">
      <c r="A160" s="133" t="s">
        <v>395</v>
      </c>
      <c r="B160" s="106" t="s">
        <v>396</v>
      </c>
      <c r="C160" s="85">
        <f t="shared" si="10"/>
        <v>0</v>
      </c>
      <c r="D160" s="83">
        <v>0</v>
      </c>
      <c r="E160" s="81">
        <v>0</v>
      </c>
      <c r="F160" s="82">
        <v>0</v>
      </c>
    </row>
    <row r="161" spans="1:6" ht="12">
      <c r="A161" s="129" t="s">
        <v>313</v>
      </c>
      <c r="B161" s="111" t="s">
        <v>204</v>
      </c>
      <c r="C161" s="50">
        <f t="shared" si="10"/>
        <v>0</v>
      </c>
      <c r="D161" s="48">
        <v>0</v>
      </c>
      <c r="E161" s="39">
        <v>0</v>
      </c>
      <c r="F161" s="44">
        <v>0</v>
      </c>
    </row>
    <row r="162" spans="1:6" ht="12">
      <c r="A162" s="129" t="s">
        <v>314</v>
      </c>
      <c r="B162" s="111" t="s">
        <v>205</v>
      </c>
      <c r="C162" s="50">
        <f t="shared" si="10"/>
        <v>0</v>
      </c>
      <c r="D162" s="48">
        <v>0</v>
      </c>
      <c r="E162" s="39">
        <v>0</v>
      </c>
      <c r="F162" s="44">
        <v>0</v>
      </c>
    </row>
    <row r="163" spans="1:6" ht="12">
      <c r="A163" s="129" t="s">
        <v>315</v>
      </c>
      <c r="B163" s="111" t="s">
        <v>206</v>
      </c>
      <c r="C163" s="50">
        <f t="shared" si="10"/>
        <v>0</v>
      </c>
      <c r="D163" s="48">
        <v>0</v>
      </c>
      <c r="E163" s="39">
        <v>0</v>
      </c>
      <c r="F163" s="44">
        <v>0</v>
      </c>
    </row>
    <row r="164" spans="1:6" ht="12.75" thickBot="1">
      <c r="A164" s="122" t="s">
        <v>316</v>
      </c>
      <c r="B164" s="112" t="s">
        <v>207</v>
      </c>
      <c r="C164" s="53">
        <f t="shared" si="10"/>
        <v>0</v>
      </c>
      <c r="D164" s="54">
        <v>0</v>
      </c>
      <c r="E164" s="55">
        <v>0</v>
      </c>
      <c r="F164" s="56">
        <v>0</v>
      </c>
    </row>
    <row r="165" spans="1:6" s="29" customFormat="1" ht="12.75" thickBot="1">
      <c r="A165" s="127" t="s">
        <v>10</v>
      </c>
      <c r="B165" s="113" t="s">
        <v>361</v>
      </c>
      <c r="C165" s="71">
        <f>+C100+C139</f>
        <v>366428</v>
      </c>
      <c r="D165" s="60">
        <f>+D100+D139</f>
        <v>366428</v>
      </c>
      <c r="E165" s="61">
        <f>+E100+E139</f>
        <v>0</v>
      </c>
      <c r="F165" s="62">
        <f>+F100+F139</f>
        <v>0</v>
      </c>
    </row>
    <row r="166" spans="1:6" s="29" customFormat="1" ht="12.75" thickBot="1">
      <c r="A166" s="127" t="s">
        <v>9</v>
      </c>
      <c r="B166" s="114" t="s">
        <v>362</v>
      </c>
      <c r="C166" s="71">
        <f>+C167</f>
        <v>0</v>
      </c>
      <c r="D166" s="60">
        <f>+D167</f>
        <v>0</v>
      </c>
      <c r="E166" s="61">
        <f>+E167</f>
        <v>0</v>
      </c>
      <c r="F166" s="62">
        <f>+F167</f>
        <v>0</v>
      </c>
    </row>
    <row r="167" spans="1:6" s="29" customFormat="1" ht="12.75" thickBot="1">
      <c r="A167" s="127" t="s">
        <v>73</v>
      </c>
      <c r="B167" s="108" t="s">
        <v>363</v>
      </c>
      <c r="C167" s="71">
        <f>+C168+C177+C178</f>
        <v>0</v>
      </c>
      <c r="D167" s="60">
        <f>+D168+D177+D178</f>
        <v>0</v>
      </c>
      <c r="E167" s="61">
        <f>+E168+E177+E178</f>
        <v>0</v>
      </c>
      <c r="F167" s="62">
        <f>+F168+F177+F178</f>
        <v>0</v>
      </c>
    </row>
    <row r="168" spans="1:6" ht="12">
      <c r="A168" s="128" t="s">
        <v>103</v>
      </c>
      <c r="B168" s="109" t="s">
        <v>447</v>
      </c>
      <c r="C168" s="63">
        <f>+C169+C170+C171+C172+C173+C174+C175+C176</f>
        <v>0</v>
      </c>
      <c r="D168" s="68">
        <f>+D169+D170+D171+D172+D173+D174+D175+D176</f>
        <v>0</v>
      </c>
      <c r="E168" s="38">
        <f>+E169+E170+E171+E172+E173+E174+E175+E176</f>
        <v>0</v>
      </c>
      <c r="F168" s="69">
        <f>+F169+F170+F171+F172+F173+F174+F175+F176</f>
        <v>0</v>
      </c>
    </row>
    <row r="169" spans="1:6" s="41" customFormat="1" ht="12">
      <c r="A169" s="130" t="s">
        <v>243</v>
      </c>
      <c r="B169" s="110" t="s">
        <v>208</v>
      </c>
      <c r="C169" s="51">
        <f aca="true" t="shared" si="11" ref="C169:C178">+D169+E169+F169</f>
        <v>0</v>
      </c>
      <c r="D169" s="47">
        <v>0</v>
      </c>
      <c r="E169" s="40">
        <v>0</v>
      </c>
      <c r="F169" s="43">
        <v>0</v>
      </c>
    </row>
    <row r="170" spans="1:6" s="41" customFormat="1" ht="12">
      <c r="A170" s="130" t="s">
        <v>244</v>
      </c>
      <c r="B170" s="110" t="s">
        <v>209</v>
      </c>
      <c r="C170" s="51">
        <f t="shared" si="11"/>
        <v>0</v>
      </c>
      <c r="D170" s="47">
        <v>0</v>
      </c>
      <c r="E170" s="40">
        <v>0</v>
      </c>
      <c r="F170" s="43">
        <v>0</v>
      </c>
    </row>
    <row r="171" spans="1:6" s="41" customFormat="1" ht="12">
      <c r="A171" s="130" t="s">
        <v>245</v>
      </c>
      <c r="B171" s="110" t="s">
        <v>210</v>
      </c>
      <c r="C171" s="51">
        <f t="shared" si="11"/>
        <v>0</v>
      </c>
      <c r="D171" s="47">
        <v>0</v>
      </c>
      <c r="E171" s="40">
        <v>0</v>
      </c>
      <c r="F171" s="43">
        <v>0</v>
      </c>
    </row>
    <row r="172" spans="1:6" s="41" customFormat="1" ht="12">
      <c r="A172" s="130" t="s">
        <v>246</v>
      </c>
      <c r="B172" s="110" t="s">
        <v>211</v>
      </c>
      <c r="C172" s="51">
        <f t="shared" si="11"/>
        <v>0</v>
      </c>
      <c r="D172" s="47">
        <v>0</v>
      </c>
      <c r="E172" s="40">
        <v>0</v>
      </c>
      <c r="F172" s="43">
        <v>0</v>
      </c>
    </row>
    <row r="173" spans="1:6" s="41" customFormat="1" ht="12">
      <c r="A173" s="130" t="s">
        <v>247</v>
      </c>
      <c r="B173" s="110" t="s">
        <v>212</v>
      </c>
      <c r="C173" s="51">
        <f t="shared" si="11"/>
        <v>0</v>
      </c>
      <c r="D173" s="1043">
        <v>0</v>
      </c>
      <c r="E173" s="1044">
        <v>0</v>
      </c>
      <c r="F173" s="1045">
        <v>0</v>
      </c>
    </row>
    <row r="174" spans="1:6" s="41" customFormat="1" ht="12">
      <c r="A174" s="130" t="s">
        <v>248</v>
      </c>
      <c r="B174" s="110" t="s">
        <v>217</v>
      </c>
      <c r="C174" s="51">
        <f t="shared" si="11"/>
        <v>0</v>
      </c>
      <c r="D174" s="1043">
        <v>0</v>
      </c>
      <c r="E174" s="1044">
        <v>0</v>
      </c>
      <c r="F174" s="1045">
        <v>0</v>
      </c>
    </row>
    <row r="175" spans="1:6" s="41" customFormat="1" ht="12">
      <c r="A175" s="130" t="s">
        <v>249</v>
      </c>
      <c r="B175" s="110" t="s">
        <v>213</v>
      </c>
      <c r="C175" s="51">
        <f t="shared" si="11"/>
        <v>0</v>
      </c>
      <c r="D175" s="1043">
        <v>0</v>
      </c>
      <c r="E175" s="1044">
        <v>0</v>
      </c>
      <c r="F175" s="1045">
        <v>0</v>
      </c>
    </row>
    <row r="176" spans="1:6" s="41" customFormat="1" ht="12">
      <c r="A176" s="130" t="s">
        <v>250</v>
      </c>
      <c r="B176" s="110" t="s">
        <v>214</v>
      </c>
      <c r="C176" s="51">
        <f t="shared" si="11"/>
        <v>0</v>
      </c>
      <c r="D176" s="1043">
        <v>0</v>
      </c>
      <c r="E176" s="1044">
        <v>0</v>
      </c>
      <c r="F176" s="1045">
        <v>0</v>
      </c>
    </row>
    <row r="177" spans="1:6" ht="12">
      <c r="A177" s="129" t="s">
        <v>104</v>
      </c>
      <c r="B177" s="111" t="s">
        <v>215</v>
      </c>
      <c r="C177" s="50">
        <f t="shared" si="11"/>
        <v>0</v>
      </c>
      <c r="D177" s="1046">
        <v>0</v>
      </c>
      <c r="E177" s="1047">
        <v>0</v>
      </c>
      <c r="F177" s="1048">
        <v>0</v>
      </c>
    </row>
    <row r="178" spans="1:6" ht="12.75" thickBot="1">
      <c r="A178" s="122" t="s">
        <v>105</v>
      </c>
      <c r="B178" s="112" t="s">
        <v>216</v>
      </c>
      <c r="C178" s="53">
        <f t="shared" si="11"/>
        <v>0</v>
      </c>
      <c r="D178" s="1049">
        <v>0</v>
      </c>
      <c r="E178" s="1050">
        <v>0</v>
      </c>
      <c r="F178" s="1051">
        <v>0</v>
      </c>
    </row>
    <row r="179" spans="1:6" s="29" customFormat="1" ht="12.75" thickBot="1">
      <c r="A179" s="127" t="s">
        <v>72</v>
      </c>
      <c r="B179" s="113" t="s">
        <v>364</v>
      </c>
      <c r="C179" s="71">
        <f>+C180</f>
        <v>0</v>
      </c>
      <c r="D179" s="163">
        <f>+D180</f>
        <v>0</v>
      </c>
      <c r="E179" s="164">
        <f>+E180</f>
        <v>0</v>
      </c>
      <c r="F179" s="165">
        <f>+F180</f>
        <v>0</v>
      </c>
    </row>
    <row r="180" spans="1:6" s="29" customFormat="1" ht="12.75" thickBot="1">
      <c r="A180" s="127" t="s">
        <v>71</v>
      </c>
      <c r="B180" s="108" t="s">
        <v>365</v>
      </c>
      <c r="C180" s="71">
        <f>+C181+C190+C191</f>
        <v>0</v>
      </c>
      <c r="D180" s="163">
        <f>+D181+D190+D191</f>
        <v>0</v>
      </c>
      <c r="E180" s="164">
        <f>+E181+E190+E191</f>
        <v>0</v>
      </c>
      <c r="F180" s="165">
        <f>+F181+F190+F191</f>
        <v>0</v>
      </c>
    </row>
    <row r="181" spans="1:6" ht="12">
      <c r="A181" s="128" t="s">
        <v>106</v>
      </c>
      <c r="B181" s="109" t="s">
        <v>366</v>
      </c>
      <c r="C181" s="63">
        <f>+C182+C183+C184+C185+C186+C187+C188+C189</f>
        <v>0</v>
      </c>
      <c r="D181" s="172">
        <f>+D182+D183+D184+D185+D186+D187+D188+D189</f>
        <v>0</v>
      </c>
      <c r="E181" s="173">
        <f>+E182+E183+E184+E185+E186+E187+E188+E189</f>
        <v>0</v>
      </c>
      <c r="F181" s="174">
        <f>+F182+F183+F184+F185+F186+F187+F188+F189</f>
        <v>0</v>
      </c>
    </row>
    <row r="182" spans="1:6" s="41" customFormat="1" ht="12">
      <c r="A182" s="130" t="s">
        <v>251</v>
      </c>
      <c r="B182" s="110" t="s">
        <v>208</v>
      </c>
      <c r="C182" s="51">
        <f aca="true" t="shared" si="12" ref="C182:C191">+D182+E182+F182</f>
        <v>0</v>
      </c>
      <c r="D182" s="1043">
        <v>0</v>
      </c>
      <c r="E182" s="1044">
        <v>0</v>
      </c>
      <c r="F182" s="1045">
        <v>0</v>
      </c>
    </row>
    <row r="183" spans="1:6" s="41" customFormat="1" ht="12">
      <c r="A183" s="130" t="s">
        <v>252</v>
      </c>
      <c r="B183" s="110" t="s">
        <v>209</v>
      </c>
      <c r="C183" s="51">
        <f t="shared" si="12"/>
        <v>0</v>
      </c>
      <c r="D183" s="1043">
        <v>0</v>
      </c>
      <c r="E183" s="1044">
        <v>0</v>
      </c>
      <c r="F183" s="1045">
        <v>0</v>
      </c>
    </row>
    <row r="184" spans="1:6" s="41" customFormat="1" ht="12">
      <c r="A184" s="130" t="s">
        <v>253</v>
      </c>
      <c r="B184" s="110" t="s">
        <v>210</v>
      </c>
      <c r="C184" s="51">
        <f t="shared" si="12"/>
        <v>0</v>
      </c>
      <c r="D184" s="1043">
        <v>0</v>
      </c>
      <c r="E184" s="1044">
        <v>0</v>
      </c>
      <c r="F184" s="1045">
        <v>0</v>
      </c>
    </row>
    <row r="185" spans="1:6" s="41" customFormat="1" ht="12">
      <c r="A185" s="130" t="s">
        <v>254</v>
      </c>
      <c r="B185" s="110" t="s">
        <v>211</v>
      </c>
      <c r="C185" s="51">
        <f t="shared" si="12"/>
        <v>0</v>
      </c>
      <c r="D185" s="1043">
        <v>0</v>
      </c>
      <c r="E185" s="1044">
        <v>0</v>
      </c>
      <c r="F185" s="1045">
        <v>0</v>
      </c>
    </row>
    <row r="186" spans="1:6" s="41" customFormat="1" ht="12">
      <c r="A186" s="130" t="s">
        <v>255</v>
      </c>
      <c r="B186" s="110" t="s">
        <v>212</v>
      </c>
      <c r="C186" s="51">
        <f t="shared" si="12"/>
        <v>0</v>
      </c>
      <c r="D186" s="1043">
        <v>0</v>
      </c>
      <c r="E186" s="1044">
        <v>0</v>
      </c>
      <c r="F186" s="1045">
        <v>0</v>
      </c>
    </row>
    <row r="187" spans="1:6" s="41" customFormat="1" ht="12">
      <c r="A187" s="130" t="s">
        <v>256</v>
      </c>
      <c r="B187" s="110" t="s">
        <v>217</v>
      </c>
      <c r="C187" s="51">
        <f t="shared" si="12"/>
        <v>0</v>
      </c>
      <c r="D187" s="1043">
        <v>0</v>
      </c>
      <c r="E187" s="1044">
        <v>0</v>
      </c>
      <c r="F187" s="1045">
        <v>0</v>
      </c>
    </row>
    <row r="188" spans="1:6" s="41" customFormat="1" ht="12">
      <c r="A188" s="130" t="s">
        <v>257</v>
      </c>
      <c r="B188" s="110" t="s">
        <v>213</v>
      </c>
      <c r="C188" s="51">
        <f t="shared" si="12"/>
        <v>0</v>
      </c>
      <c r="D188" s="47">
        <v>0</v>
      </c>
      <c r="E188" s="40">
        <v>0</v>
      </c>
      <c r="F188" s="43">
        <v>0</v>
      </c>
    </row>
    <row r="189" spans="1:6" s="41" customFormat="1" ht="12">
      <c r="A189" s="130" t="s">
        <v>258</v>
      </c>
      <c r="B189" s="110" t="s">
        <v>214</v>
      </c>
      <c r="C189" s="51">
        <f t="shared" si="12"/>
        <v>0</v>
      </c>
      <c r="D189" s="47">
        <v>0</v>
      </c>
      <c r="E189" s="40">
        <v>0</v>
      </c>
      <c r="F189" s="43">
        <v>0</v>
      </c>
    </row>
    <row r="190" spans="1:6" ht="12">
      <c r="A190" s="129" t="s">
        <v>107</v>
      </c>
      <c r="B190" s="111" t="s">
        <v>215</v>
      </c>
      <c r="C190" s="50">
        <f t="shared" si="12"/>
        <v>0</v>
      </c>
      <c r="D190" s="48">
        <v>0</v>
      </c>
      <c r="E190" s="39">
        <v>0</v>
      </c>
      <c r="F190" s="44">
        <v>0</v>
      </c>
    </row>
    <row r="191" spans="1:6" ht="12.75" thickBot="1">
      <c r="A191" s="122" t="s">
        <v>259</v>
      </c>
      <c r="B191" s="112" t="s">
        <v>216</v>
      </c>
      <c r="C191" s="53">
        <f t="shared" si="12"/>
        <v>0</v>
      </c>
      <c r="D191" s="54">
        <v>0</v>
      </c>
      <c r="E191" s="55">
        <v>0</v>
      </c>
      <c r="F191" s="56">
        <v>0</v>
      </c>
    </row>
    <row r="192" spans="1:6" s="29" customFormat="1" ht="12.75" thickBot="1">
      <c r="A192" s="127" t="s">
        <v>68</v>
      </c>
      <c r="B192" s="113" t="s">
        <v>367</v>
      </c>
      <c r="C192" s="71">
        <f>+C166+C179</f>
        <v>0</v>
      </c>
      <c r="D192" s="60">
        <f>+D166+D179</f>
        <v>0</v>
      </c>
      <c r="E192" s="61">
        <f>+E166+E179</f>
        <v>0</v>
      </c>
      <c r="F192" s="62">
        <f>+F166+F179</f>
        <v>0</v>
      </c>
    </row>
    <row r="193" spans="1:6" s="29" customFormat="1" ht="12.75" thickBot="1">
      <c r="A193" s="131" t="s">
        <v>67</v>
      </c>
      <c r="B193" s="115" t="s">
        <v>391</v>
      </c>
      <c r="C193" s="72">
        <f>+C165+C192</f>
        <v>366428</v>
      </c>
      <c r="D193" s="57">
        <f>+D165+D192</f>
        <v>366428</v>
      </c>
      <c r="E193" s="58">
        <f>+E165+E192</f>
        <v>0</v>
      </c>
      <c r="F193" s="59">
        <f>+F165+F192</f>
        <v>0</v>
      </c>
    </row>
    <row r="196" spans="1:30" s="24" customFormat="1" ht="15.75">
      <c r="A196" s="1299" t="s">
        <v>117</v>
      </c>
      <c r="B196" s="1299"/>
      <c r="C196" s="1299"/>
      <c r="D196" s="1299"/>
      <c r="E196" s="1299"/>
      <c r="F196" s="1299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</row>
    <row r="197" spans="1:6" s="73" customFormat="1" ht="12.75" thickBot="1">
      <c r="A197" s="75" t="s">
        <v>320</v>
      </c>
      <c r="F197" s="74" t="s">
        <v>319</v>
      </c>
    </row>
    <row r="198" spans="1:6" s="29" customFormat="1" ht="12.75" thickBot="1">
      <c r="A198" s="127" t="s">
        <v>4</v>
      </c>
      <c r="B198" s="113" t="s">
        <v>368</v>
      </c>
      <c r="C198" s="71">
        <f>+C199+C200</f>
        <v>-336879</v>
      </c>
      <c r="D198" s="60">
        <f>+D199+D200</f>
        <v>-336879</v>
      </c>
      <c r="E198" s="61">
        <f>+E199+E200</f>
        <v>0</v>
      </c>
      <c r="F198" s="62">
        <f>+F199+F200</f>
        <v>0</v>
      </c>
    </row>
    <row r="199" spans="1:6" ht="12">
      <c r="A199" s="128" t="s">
        <v>109</v>
      </c>
      <c r="B199" s="116" t="s">
        <v>369</v>
      </c>
      <c r="C199" s="63">
        <f>+C10-C100</f>
        <v>-336879</v>
      </c>
      <c r="D199" s="68">
        <f>+D10-D100</f>
        <v>-336879</v>
      </c>
      <c r="E199" s="38">
        <f>+E10-E100</f>
        <v>0</v>
      </c>
      <c r="F199" s="69">
        <f>+F10-F100</f>
        <v>0</v>
      </c>
    </row>
    <row r="200" spans="1:6" ht="12.75" thickBot="1">
      <c r="A200" s="132" t="s">
        <v>110</v>
      </c>
      <c r="B200" s="117" t="s">
        <v>370</v>
      </c>
      <c r="C200" s="52">
        <f>+C47-C139</f>
        <v>0</v>
      </c>
      <c r="D200" s="78">
        <f>+D47-D139</f>
        <v>0</v>
      </c>
      <c r="E200" s="45">
        <f>+E47-E139</f>
        <v>0</v>
      </c>
      <c r="F200" s="77">
        <f>+F47-F139</f>
        <v>0</v>
      </c>
    </row>
    <row r="203" spans="1:30" s="24" customFormat="1" ht="15.75">
      <c r="A203" s="1299" t="s">
        <v>118</v>
      </c>
      <c r="B203" s="1299"/>
      <c r="C203" s="1299"/>
      <c r="D203" s="1299"/>
      <c r="E203" s="1299"/>
      <c r="F203" s="1299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</row>
    <row r="204" spans="1:6" s="73" customFormat="1" ht="12.75" thickBot="1">
      <c r="A204" s="75" t="s">
        <v>321</v>
      </c>
      <c r="F204" s="74" t="s">
        <v>319</v>
      </c>
    </row>
    <row r="205" spans="1:6" s="29" customFormat="1" ht="12.75" thickBot="1">
      <c r="A205" s="127" t="s">
        <v>4</v>
      </c>
      <c r="B205" s="113" t="s">
        <v>371</v>
      </c>
      <c r="C205" s="71">
        <f>+C206+C213</f>
        <v>336879</v>
      </c>
      <c r="D205" s="60">
        <f>+D206+D213</f>
        <v>336879</v>
      </c>
      <c r="E205" s="61">
        <f>+E206+E213</f>
        <v>0</v>
      </c>
      <c r="F205" s="62">
        <f>+F206+F213</f>
        <v>0</v>
      </c>
    </row>
    <row r="206" spans="1:6" s="29" customFormat="1" ht="12.75" thickBot="1">
      <c r="A206" s="127" t="s">
        <v>5</v>
      </c>
      <c r="B206" s="108" t="s">
        <v>372</v>
      </c>
      <c r="C206" s="71">
        <f>+C207-C210</f>
        <v>336879</v>
      </c>
      <c r="D206" s="60">
        <f>+D207-D210</f>
        <v>336879</v>
      </c>
      <c r="E206" s="61">
        <f>+E207-E210</f>
        <v>0</v>
      </c>
      <c r="F206" s="62">
        <f>+F207-F210</f>
        <v>0</v>
      </c>
    </row>
    <row r="207" spans="1:6" ht="12">
      <c r="A207" s="128" t="s">
        <v>82</v>
      </c>
      <c r="B207" s="109" t="s">
        <v>373</v>
      </c>
      <c r="C207" s="63">
        <f>+C208+C209</f>
        <v>336879</v>
      </c>
      <c r="D207" s="68">
        <f>+D208+D209</f>
        <v>336879</v>
      </c>
      <c r="E207" s="38">
        <f>+E208+E209</f>
        <v>0</v>
      </c>
      <c r="F207" s="69">
        <f>+F208+F209</f>
        <v>0</v>
      </c>
    </row>
    <row r="208" spans="1:6" s="41" customFormat="1" ht="12">
      <c r="A208" s="130" t="s">
        <v>228</v>
      </c>
      <c r="B208" s="110" t="s">
        <v>323</v>
      </c>
      <c r="C208" s="51">
        <f>+C71+C75</f>
        <v>0</v>
      </c>
      <c r="D208" s="47">
        <f>+D71+D75</f>
        <v>0</v>
      </c>
      <c r="E208" s="40">
        <f>+E71+E75</f>
        <v>0</v>
      </c>
      <c r="F208" s="43">
        <f>+F71+F75</f>
        <v>0</v>
      </c>
    </row>
    <row r="209" spans="1:6" s="41" customFormat="1" ht="12">
      <c r="A209" s="130" t="s">
        <v>229</v>
      </c>
      <c r="B209" s="110" t="s">
        <v>324</v>
      </c>
      <c r="C209" s="51">
        <f>+C69+C70+C72+C73+C74+C76</f>
        <v>336879</v>
      </c>
      <c r="D209" s="47">
        <f>+D69+D70+D72+D73+D74+D76</f>
        <v>336879</v>
      </c>
      <c r="E209" s="40">
        <f>+E69+E70+E72+E73+E74+E76</f>
        <v>0</v>
      </c>
      <c r="F209" s="43">
        <f>+F69+F70+F72+F73+F74+F76</f>
        <v>0</v>
      </c>
    </row>
    <row r="210" spans="1:6" ht="12">
      <c r="A210" s="129" t="s">
        <v>83</v>
      </c>
      <c r="B210" s="111" t="s">
        <v>374</v>
      </c>
      <c r="C210" s="50">
        <f>+C212</f>
        <v>0</v>
      </c>
      <c r="D210" s="48">
        <f>+D212</f>
        <v>0</v>
      </c>
      <c r="E210" s="39">
        <f>+E212</f>
        <v>0</v>
      </c>
      <c r="F210" s="44">
        <f>+F212</f>
        <v>0</v>
      </c>
    </row>
    <row r="211" spans="1:6" s="41" customFormat="1" ht="12">
      <c r="A211" s="130" t="s">
        <v>84</v>
      </c>
      <c r="B211" s="110" t="s">
        <v>325</v>
      </c>
      <c r="C211" s="51">
        <f>+C174</f>
        <v>0</v>
      </c>
      <c r="D211" s="47">
        <f>+D174</f>
        <v>0</v>
      </c>
      <c r="E211" s="40">
        <f>+E174</f>
        <v>0</v>
      </c>
      <c r="F211" s="43">
        <f>+F174</f>
        <v>0</v>
      </c>
    </row>
    <row r="212" spans="1:6" s="41" customFormat="1" ht="12.75" thickBot="1">
      <c r="A212" s="133" t="s">
        <v>85</v>
      </c>
      <c r="B212" s="118" t="s">
        <v>326</v>
      </c>
      <c r="C212" s="85">
        <f>+C169+C170+C171+C172+C173+C175+C176</f>
        <v>0</v>
      </c>
      <c r="D212" s="83">
        <f>+D169+D170+D171+D172+D173+D175+D176</f>
        <v>0</v>
      </c>
      <c r="E212" s="81">
        <f>+E169+E170+E171+E172+E173+E175+E176</f>
        <v>0</v>
      </c>
      <c r="F212" s="82">
        <f>+F169+F170+F171+F172+F173+F175+F176</f>
        <v>0</v>
      </c>
    </row>
    <row r="213" spans="1:6" s="29" customFormat="1" ht="12.75" thickBot="1">
      <c r="A213" s="127" t="s">
        <v>6</v>
      </c>
      <c r="B213" s="108" t="s">
        <v>375</v>
      </c>
      <c r="C213" s="71">
        <f>+C214-C217</f>
        <v>0</v>
      </c>
      <c r="D213" s="60">
        <f>+D214-D217</f>
        <v>0</v>
      </c>
      <c r="E213" s="61">
        <f>+E214-E217</f>
        <v>0</v>
      </c>
      <c r="F213" s="62">
        <f>+F214-F217</f>
        <v>0</v>
      </c>
    </row>
    <row r="214" spans="1:6" ht="12">
      <c r="A214" s="128" t="s">
        <v>86</v>
      </c>
      <c r="B214" s="109" t="s">
        <v>376</v>
      </c>
      <c r="C214" s="63">
        <f>+C215+C216</f>
        <v>0</v>
      </c>
      <c r="D214" s="68">
        <f>+D215+D216</f>
        <v>0</v>
      </c>
      <c r="E214" s="38">
        <f>+E215+E216</f>
        <v>0</v>
      </c>
      <c r="F214" s="69">
        <f>+F215+F216</f>
        <v>0</v>
      </c>
    </row>
    <row r="215" spans="1:6" s="41" customFormat="1" ht="12">
      <c r="A215" s="130" t="s">
        <v>331</v>
      </c>
      <c r="B215" s="110" t="s">
        <v>329</v>
      </c>
      <c r="C215" s="51">
        <f>+C84+C88</f>
        <v>0</v>
      </c>
      <c r="D215" s="47">
        <f>+D84+D88</f>
        <v>0</v>
      </c>
      <c r="E215" s="40">
        <f>+E84+E88</f>
        <v>0</v>
      </c>
      <c r="F215" s="43">
        <f>+F84+F88</f>
        <v>0</v>
      </c>
    </row>
    <row r="216" spans="1:6" s="41" customFormat="1" ht="12">
      <c r="A216" s="130" t="s">
        <v>332</v>
      </c>
      <c r="B216" s="110" t="s">
        <v>330</v>
      </c>
      <c r="C216" s="51">
        <f>+C82+C83+C85+C86+C87+C89</f>
        <v>0</v>
      </c>
      <c r="D216" s="47">
        <f>+D82+D83+D85+D86+D87+D89</f>
        <v>0</v>
      </c>
      <c r="E216" s="40">
        <f>+E82+E83+E85+E86+E87+E89</f>
        <v>0</v>
      </c>
      <c r="F216" s="43">
        <f>+F82+F83+F85+F86+F87+F89</f>
        <v>0</v>
      </c>
    </row>
    <row r="217" spans="1:6" ht="12">
      <c r="A217" s="129" t="s">
        <v>87</v>
      </c>
      <c r="B217" s="111" t="s">
        <v>377</v>
      </c>
      <c r="C217" s="50">
        <f>+C218+C219</f>
        <v>0</v>
      </c>
      <c r="D217" s="48">
        <f>+D218+D219</f>
        <v>0</v>
      </c>
      <c r="E217" s="39">
        <f>+E218+E219</f>
        <v>0</v>
      </c>
      <c r="F217" s="44">
        <f>+F218+F219</f>
        <v>0</v>
      </c>
    </row>
    <row r="218" spans="1:6" s="41" customFormat="1" ht="12">
      <c r="A218" s="130" t="s">
        <v>333</v>
      </c>
      <c r="B218" s="110" t="s">
        <v>327</v>
      </c>
      <c r="C218" s="51">
        <f>+C187</f>
        <v>0</v>
      </c>
      <c r="D218" s="47">
        <f>+D187</f>
        <v>0</v>
      </c>
      <c r="E218" s="40">
        <f>+E187</f>
        <v>0</v>
      </c>
      <c r="F218" s="43">
        <f>+F187</f>
        <v>0</v>
      </c>
    </row>
    <row r="219" spans="1:6" s="41" customFormat="1" ht="12.75" thickBot="1">
      <c r="A219" s="134" t="s">
        <v>334</v>
      </c>
      <c r="B219" s="119" t="s">
        <v>328</v>
      </c>
      <c r="C219" s="86">
        <f>+C182+C183+C184+C185+C186+C188+C189</f>
        <v>0</v>
      </c>
      <c r="D219" s="84">
        <f>+D182+D183+D184+D185+D186+D188+D189</f>
        <v>0</v>
      </c>
      <c r="E219" s="79">
        <f>+E182+E183+E184+E185+E186+E188+E189</f>
        <v>0</v>
      </c>
      <c r="F219" s="80">
        <f>+F182+F183+F184+F185+F186+F188+F189</f>
        <v>0</v>
      </c>
    </row>
    <row r="222" spans="1:30" s="24" customFormat="1" ht="15.75">
      <c r="A222" s="1299" t="s">
        <v>383</v>
      </c>
      <c r="B222" s="1299"/>
      <c r="C222" s="1299"/>
      <c r="D222" s="1299"/>
      <c r="E222" s="1299"/>
      <c r="F222" s="1299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</row>
    <row r="223" spans="1:6" s="73" customFormat="1" ht="12.75" thickBot="1">
      <c r="A223" s="75" t="s">
        <v>322</v>
      </c>
      <c r="F223" s="74"/>
    </row>
    <row r="224" spans="1:6" s="29" customFormat="1" ht="12">
      <c r="A224" s="135" t="s">
        <v>4</v>
      </c>
      <c r="B224" s="120" t="s">
        <v>119</v>
      </c>
      <c r="C224" s="94">
        <f>+D224+E224+F224</f>
        <v>67</v>
      </c>
      <c r="D224" s="95">
        <v>67</v>
      </c>
      <c r="E224" s="96">
        <v>0</v>
      </c>
      <c r="F224" s="97">
        <v>0</v>
      </c>
    </row>
    <row r="225" spans="1:6" s="41" customFormat="1" ht="12">
      <c r="A225" s="133" t="s">
        <v>408</v>
      </c>
      <c r="B225" s="146" t="s">
        <v>409</v>
      </c>
      <c r="C225" s="147">
        <f>+D225+E225+F225</f>
        <v>0</v>
      </c>
      <c r="D225" s="148">
        <v>0</v>
      </c>
      <c r="E225" s="149">
        <v>0</v>
      </c>
      <c r="F225" s="150">
        <v>0</v>
      </c>
    </row>
    <row r="226" spans="1:6" s="29" customFormat="1" ht="12.75" thickBot="1">
      <c r="A226" s="136" t="s">
        <v>5</v>
      </c>
      <c r="B226" s="121" t="s">
        <v>120</v>
      </c>
      <c r="C226" s="98">
        <f>+D226+E226+F226</f>
        <v>0</v>
      </c>
      <c r="D226" s="99">
        <v>0</v>
      </c>
      <c r="E226" s="100">
        <v>0</v>
      </c>
      <c r="F226" s="101">
        <v>0</v>
      </c>
    </row>
    <row r="227" spans="1:6" s="29" customFormat="1" ht="12.75" thickBot="1">
      <c r="A227" s="127" t="s">
        <v>6</v>
      </c>
      <c r="B227" s="113" t="s">
        <v>380</v>
      </c>
      <c r="C227" s="102">
        <f>+C224+C226</f>
        <v>67</v>
      </c>
      <c r="D227" s="103">
        <f>+D224+D226</f>
        <v>67</v>
      </c>
      <c r="E227" s="104">
        <f>+E224+E226</f>
        <v>0</v>
      </c>
      <c r="F227" s="105">
        <f>+F224+F226</f>
        <v>0</v>
      </c>
    </row>
  </sheetData>
  <sheetProtection/>
  <mergeCells count="9">
    <mergeCell ref="A196:F196"/>
    <mergeCell ref="A203:F203"/>
    <mergeCell ref="A222:F222"/>
    <mergeCell ref="A3:F3"/>
    <mergeCell ref="A4:F4"/>
    <mergeCell ref="A6:F6"/>
    <mergeCell ref="C9:F9"/>
    <mergeCell ref="A96:F96"/>
    <mergeCell ref="C99:F9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5" r:id="rId1"/>
  <headerFooter>
    <oddHeader>&amp;C 1.3. melléklet - &amp;P. oldal</oddHeader>
  </headerFooter>
  <rowBreaks count="1" manualBreakCount="1">
    <brk id="95" max="5" man="1"/>
  </rowBreaks>
  <colBreaks count="1" manualBreakCount="1">
    <brk id="6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AD227"/>
  <sheetViews>
    <sheetView zoomScale="80" zoomScaleNormal="80" workbookViewId="0" topLeftCell="A1">
      <selection activeCell="F2" sqref="F2"/>
    </sheetView>
  </sheetViews>
  <sheetFormatPr defaultColWidth="9.00390625" defaultRowHeight="12.75"/>
  <cols>
    <col min="1" max="1" width="6.625" style="30" customWidth="1"/>
    <col min="2" max="2" width="109.625" style="30" bestFit="1" customWidth="1"/>
    <col min="3" max="16384" width="9.125" style="30" customWidth="1"/>
  </cols>
  <sheetData>
    <row r="1" s="90" customFormat="1" ht="15.75">
      <c r="F1" s="91" t="s">
        <v>1410</v>
      </c>
    </row>
    <row r="2" s="90" customFormat="1" ht="15.75"/>
    <row r="3" spans="1:6" s="92" customFormat="1" ht="15.75">
      <c r="A3" s="1298" t="s">
        <v>418</v>
      </c>
      <c r="B3" s="1298"/>
      <c r="C3" s="1298"/>
      <c r="D3" s="1298"/>
      <c r="E3" s="1298"/>
      <c r="F3" s="1298"/>
    </row>
    <row r="4" spans="1:6" s="92" customFormat="1" ht="15.75">
      <c r="A4" s="1298" t="s">
        <v>412</v>
      </c>
      <c r="B4" s="1298"/>
      <c r="C4" s="1298"/>
      <c r="D4" s="1298"/>
      <c r="E4" s="1298"/>
      <c r="F4" s="1298"/>
    </row>
    <row r="5" s="90" customFormat="1" ht="15.75"/>
    <row r="6" spans="1:6" s="92" customFormat="1" ht="15.75">
      <c r="A6" s="1298" t="s">
        <v>76</v>
      </c>
      <c r="B6" s="1298"/>
      <c r="C6" s="1298"/>
      <c r="D6" s="1298"/>
      <c r="E6" s="1298"/>
      <c r="F6" s="1298"/>
    </row>
    <row r="7" spans="1:6" s="73" customFormat="1" ht="12.75" thickBot="1">
      <c r="A7" s="75" t="s">
        <v>318</v>
      </c>
      <c r="F7" s="74" t="s">
        <v>319</v>
      </c>
    </row>
    <row r="8" spans="1:6" s="35" customFormat="1" ht="54" customHeight="1" thickBot="1">
      <c r="A8" s="123" t="s">
        <v>17</v>
      </c>
      <c r="B8" s="137" t="s">
        <v>378</v>
      </c>
      <c r="C8" s="31" t="s">
        <v>419</v>
      </c>
      <c r="D8" s="32" t="s">
        <v>79</v>
      </c>
      <c r="E8" s="33" t="s">
        <v>80</v>
      </c>
      <c r="F8" s="34" t="s">
        <v>81</v>
      </c>
    </row>
    <row r="9" spans="1:6" s="29" customFormat="1" ht="12.75" thickBot="1">
      <c r="A9" s="127" t="s">
        <v>291</v>
      </c>
      <c r="B9" s="138" t="s">
        <v>292</v>
      </c>
      <c r="C9" s="1300" t="s">
        <v>293</v>
      </c>
      <c r="D9" s="1301"/>
      <c r="E9" s="1301"/>
      <c r="F9" s="1302"/>
    </row>
    <row r="10" spans="1:6" s="29" customFormat="1" ht="12.75" thickBot="1">
      <c r="A10" s="139" t="s">
        <v>4</v>
      </c>
      <c r="B10" s="107" t="s">
        <v>335</v>
      </c>
      <c r="C10" s="70">
        <f>+C11+C25+C32+C43</f>
        <v>3700</v>
      </c>
      <c r="D10" s="65">
        <f>+D11+D25+D32+D43</f>
        <v>3700</v>
      </c>
      <c r="E10" s="66">
        <f>+E11+E25+E32+E43</f>
        <v>0</v>
      </c>
      <c r="F10" s="67">
        <f>+F11+F25+F32+F43</f>
        <v>0</v>
      </c>
    </row>
    <row r="11" spans="1:6" s="29" customFormat="1" ht="12.75" customHeight="1" thickBot="1">
      <c r="A11" s="127" t="s">
        <v>5</v>
      </c>
      <c r="B11" s="108" t="s">
        <v>336</v>
      </c>
      <c r="C11" s="71">
        <f>+C12+C19+C20+C21+C22+C23</f>
        <v>250</v>
      </c>
      <c r="D11" s="60">
        <f>+D12+D19+D20+D21+D22+D23</f>
        <v>250</v>
      </c>
      <c r="E11" s="61">
        <f>+E12+E19+E20+E21+E22+E23</f>
        <v>0</v>
      </c>
      <c r="F11" s="62">
        <f>+F12+F19+F20+F21+F22+F23</f>
        <v>0</v>
      </c>
    </row>
    <row r="12" spans="1:6" s="29" customFormat="1" ht="12">
      <c r="A12" s="128" t="s">
        <v>82</v>
      </c>
      <c r="B12" s="109" t="s">
        <v>337</v>
      </c>
      <c r="C12" s="63">
        <f>+C13+C14+C15+C16+C17+C18</f>
        <v>0</v>
      </c>
      <c r="D12" s="46">
        <f>+D13+D14+D15+D16+D17+D18</f>
        <v>0</v>
      </c>
      <c r="E12" s="37">
        <f>+E13+E14+E15+E16+E17+E18</f>
        <v>0</v>
      </c>
      <c r="F12" s="42">
        <f>+F13+F14+F15+F16+F17+F18</f>
        <v>0</v>
      </c>
    </row>
    <row r="13" spans="1:6" s="41" customFormat="1" ht="12">
      <c r="A13" s="130" t="s">
        <v>228</v>
      </c>
      <c r="B13" s="110" t="s">
        <v>121</v>
      </c>
      <c r="C13" s="51">
        <f>+D13+E13+F13</f>
        <v>0</v>
      </c>
      <c r="D13" s="47">
        <v>0</v>
      </c>
      <c r="E13" s="40">
        <v>0</v>
      </c>
      <c r="F13" s="43">
        <v>0</v>
      </c>
    </row>
    <row r="14" spans="1:6" s="41" customFormat="1" ht="12">
      <c r="A14" s="130" t="s">
        <v>229</v>
      </c>
      <c r="B14" s="110" t="s">
        <v>122</v>
      </c>
      <c r="C14" s="51">
        <f aca="true" t="shared" si="0" ref="C14:C24">+D14+E14+F14</f>
        <v>0</v>
      </c>
      <c r="D14" s="47">
        <v>0</v>
      </c>
      <c r="E14" s="40">
        <v>0</v>
      </c>
      <c r="F14" s="43">
        <v>0</v>
      </c>
    </row>
    <row r="15" spans="1:6" s="41" customFormat="1" ht="12">
      <c r="A15" s="130" t="s">
        <v>230</v>
      </c>
      <c r="B15" s="110" t="s">
        <v>123</v>
      </c>
      <c r="C15" s="51">
        <f t="shared" si="0"/>
        <v>0</v>
      </c>
      <c r="D15" s="47">
        <v>0</v>
      </c>
      <c r="E15" s="40">
        <v>0</v>
      </c>
      <c r="F15" s="43">
        <v>0</v>
      </c>
    </row>
    <row r="16" spans="1:6" s="41" customFormat="1" ht="12">
      <c r="A16" s="130" t="s">
        <v>231</v>
      </c>
      <c r="B16" s="110" t="s">
        <v>124</v>
      </c>
      <c r="C16" s="51">
        <f t="shared" si="0"/>
        <v>0</v>
      </c>
      <c r="D16" s="47">
        <v>0</v>
      </c>
      <c r="E16" s="40">
        <v>0</v>
      </c>
      <c r="F16" s="43">
        <v>0</v>
      </c>
    </row>
    <row r="17" spans="1:6" s="41" customFormat="1" ht="12">
      <c r="A17" s="130" t="s">
        <v>232</v>
      </c>
      <c r="B17" s="110" t="s">
        <v>125</v>
      </c>
      <c r="C17" s="51">
        <f t="shared" si="0"/>
        <v>0</v>
      </c>
      <c r="D17" s="47">
        <v>0</v>
      </c>
      <c r="E17" s="40">
        <v>0</v>
      </c>
      <c r="F17" s="43">
        <v>0</v>
      </c>
    </row>
    <row r="18" spans="1:6" s="41" customFormat="1" ht="12">
      <c r="A18" s="130" t="s">
        <v>233</v>
      </c>
      <c r="B18" s="110" t="s">
        <v>126</v>
      </c>
      <c r="C18" s="51">
        <f t="shared" si="0"/>
        <v>0</v>
      </c>
      <c r="D18" s="47">
        <v>0</v>
      </c>
      <c r="E18" s="40">
        <v>0</v>
      </c>
      <c r="F18" s="43">
        <v>0</v>
      </c>
    </row>
    <row r="19" spans="1:6" ht="12">
      <c r="A19" s="129" t="s">
        <v>83</v>
      </c>
      <c r="B19" s="111" t="s">
        <v>127</v>
      </c>
      <c r="C19" s="50">
        <f t="shared" si="0"/>
        <v>0</v>
      </c>
      <c r="D19" s="48">
        <v>0</v>
      </c>
      <c r="E19" s="39">
        <v>0</v>
      </c>
      <c r="F19" s="44">
        <v>0</v>
      </c>
    </row>
    <row r="20" spans="1:6" ht="12">
      <c r="A20" s="129" t="s">
        <v>111</v>
      </c>
      <c r="B20" s="111" t="s">
        <v>128</v>
      </c>
      <c r="C20" s="50">
        <f t="shared" si="0"/>
        <v>0</v>
      </c>
      <c r="D20" s="48">
        <v>0</v>
      </c>
      <c r="E20" s="39">
        <v>0</v>
      </c>
      <c r="F20" s="44">
        <v>0</v>
      </c>
    </row>
    <row r="21" spans="1:6" ht="12">
      <c r="A21" s="129" t="s">
        <v>112</v>
      </c>
      <c r="B21" s="111" t="s">
        <v>129</v>
      </c>
      <c r="C21" s="50">
        <f t="shared" si="0"/>
        <v>0</v>
      </c>
      <c r="D21" s="48">
        <v>0</v>
      </c>
      <c r="E21" s="39">
        <v>0</v>
      </c>
      <c r="F21" s="44">
        <v>0</v>
      </c>
    </row>
    <row r="22" spans="1:6" ht="12">
      <c r="A22" s="129" t="s">
        <v>113</v>
      </c>
      <c r="B22" s="111" t="s">
        <v>130</v>
      </c>
      <c r="C22" s="50">
        <f t="shared" si="0"/>
        <v>0</v>
      </c>
      <c r="D22" s="48">
        <v>0</v>
      </c>
      <c r="E22" s="39">
        <v>0</v>
      </c>
      <c r="F22" s="44">
        <v>0</v>
      </c>
    </row>
    <row r="23" spans="1:6" ht="12">
      <c r="A23" s="122" t="s">
        <v>114</v>
      </c>
      <c r="B23" s="112" t="s">
        <v>131</v>
      </c>
      <c r="C23" s="53">
        <f t="shared" si="0"/>
        <v>250</v>
      </c>
      <c r="D23" s="54">
        <v>250</v>
      </c>
      <c r="E23" s="55">
        <v>0</v>
      </c>
      <c r="F23" s="56">
        <v>0</v>
      </c>
    </row>
    <row r="24" spans="1:6" s="41" customFormat="1" ht="12.75" thickBot="1">
      <c r="A24" s="133" t="s">
        <v>384</v>
      </c>
      <c r="B24" s="106" t="s">
        <v>385</v>
      </c>
      <c r="C24" s="85">
        <f t="shared" si="0"/>
        <v>0</v>
      </c>
      <c r="D24" s="83">
        <v>0</v>
      </c>
      <c r="E24" s="81">
        <v>0</v>
      </c>
      <c r="F24" s="82">
        <v>0</v>
      </c>
    </row>
    <row r="25" spans="1:6" s="29" customFormat="1" ht="12.75" customHeight="1" thickBot="1">
      <c r="A25" s="127" t="s">
        <v>6</v>
      </c>
      <c r="B25" s="108" t="s">
        <v>1090</v>
      </c>
      <c r="C25" s="71">
        <f>+C26+C27+C28+C29+C30+C31</f>
        <v>0</v>
      </c>
      <c r="D25" s="60">
        <f>+D26+D27+D28+D29+D30+D31</f>
        <v>0</v>
      </c>
      <c r="E25" s="61">
        <f>+E26+E27+E28+E29+E30+E31</f>
        <v>0</v>
      </c>
      <c r="F25" s="62">
        <f>+F26+F27+F28+F29+F30+F31</f>
        <v>0</v>
      </c>
    </row>
    <row r="26" spans="1:6" ht="12.75" customHeight="1">
      <c r="A26" s="128" t="s">
        <v>86</v>
      </c>
      <c r="B26" s="109" t="s">
        <v>132</v>
      </c>
      <c r="C26" s="63">
        <f aca="true" t="shared" si="1" ref="C26:C31">+D26+E26+F26</f>
        <v>0</v>
      </c>
      <c r="D26" s="68">
        <v>0</v>
      </c>
      <c r="E26" s="38">
        <v>0</v>
      </c>
      <c r="F26" s="69">
        <v>0</v>
      </c>
    </row>
    <row r="27" spans="1:6" ht="12.75" customHeight="1">
      <c r="A27" s="129" t="s">
        <v>87</v>
      </c>
      <c r="B27" s="111" t="s">
        <v>133</v>
      </c>
      <c r="C27" s="50">
        <f t="shared" si="1"/>
        <v>0</v>
      </c>
      <c r="D27" s="48">
        <v>0</v>
      </c>
      <c r="E27" s="39">
        <v>0</v>
      </c>
      <c r="F27" s="44">
        <v>0</v>
      </c>
    </row>
    <row r="28" spans="1:6" ht="12.75" customHeight="1">
      <c r="A28" s="129" t="s">
        <v>88</v>
      </c>
      <c r="B28" s="111" t="s">
        <v>134</v>
      </c>
      <c r="C28" s="50">
        <f t="shared" si="1"/>
        <v>0</v>
      </c>
      <c r="D28" s="48">
        <v>0</v>
      </c>
      <c r="E28" s="39">
        <v>0</v>
      </c>
      <c r="F28" s="44">
        <v>0</v>
      </c>
    </row>
    <row r="29" spans="1:6" ht="12.75" customHeight="1">
      <c r="A29" s="129" t="s">
        <v>218</v>
      </c>
      <c r="B29" s="111" t="s">
        <v>135</v>
      </c>
      <c r="C29" s="50">
        <f t="shared" si="1"/>
        <v>0</v>
      </c>
      <c r="D29" s="48">
        <v>0</v>
      </c>
      <c r="E29" s="39">
        <v>0</v>
      </c>
      <c r="F29" s="44">
        <v>0</v>
      </c>
    </row>
    <row r="30" spans="1:6" ht="12.75" customHeight="1">
      <c r="A30" s="122" t="s">
        <v>219</v>
      </c>
      <c r="B30" s="112" t="s">
        <v>136</v>
      </c>
      <c r="C30" s="53">
        <f t="shared" si="1"/>
        <v>0</v>
      </c>
      <c r="D30" s="48">
        <v>0</v>
      </c>
      <c r="E30" s="39">
        <v>0</v>
      </c>
      <c r="F30" s="44">
        <v>0</v>
      </c>
    </row>
    <row r="31" spans="1:6" ht="12.75" customHeight="1" thickBot="1">
      <c r="A31" s="122" t="s">
        <v>1089</v>
      </c>
      <c r="B31" s="112" t="s">
        <v>1091</v>
      </c>
      <c r="C31" s="53">
        <f t="shared" si="1"/>
        <v>0</v>
      </c>
      <c r="D31" s="48">
        <v>0</v>
      </c>
      <c r="E31" s="39">
        <v>0</v>
      </c>
      <c r="F31" s="44">
        <v>0</v>
      </c>
    </row>
    <row r="32" spans="1:6" s="29" customFormat="1" ht="12.75" customHeight="1" thickBot="1">
      <c r="A32" s="127" t="s">
        <v>3</v>
      </c>
      <c r="B32" s="108" t="s">
        <v>338</v>
      </c>
      <c r="C32" s="71">
        <f>+C33+C34+C35+C36+C37+C38+C39+C40+C41+C42</f>
        <v>3450</v>
      </c>
      <c r="D32" s="60">
        <f>+D33+D34+D35+D36+D37+D38+D39+D40+D41+D42</f>
        <v>3450</v>
      </c>
      <c r="E32" s="61">
        <f>+E33+E34+E35+E36+E37+E38+E39+E40+E41+E42</f>
        <v>0</v>
      </c>
      <c r="F32" s="62">
        <f>+F33+F34+F35+F36+F37+F38+F39+F40+F41+F42</f>
        <v>0</v>
      </c>
    </row>
    <row r="33" spans="1:6" ht="12.75" customHeight="1">
      <c r="A33" s="128" t="s">
        <v>89</v>
      </c>
      <c r="B33" s="109" t="s">
        <v>137</v>
      </c>
      <c r="C33" s="63">
        <f aca="true" t="shared" si="2" ref="C33:C42">+D33+E33+F33</f>
        <v>0</v>
      </c>
      <c r="D33" s="68">
        <v>0</v>
      </c>
      <c r="E33" s="38">
        <v>0</v>
      </c>
      <c r="F33" s="69">
        <v>0</v>
      </c>
    </row>
    <row r="34" spans="1:6" ht="12.75" customHeight="1">
      <c r="A34" s="129" t="s">
        <v>90</v>
      </c>
      <c r="B34" s="111" t="s">
        <v>138</v>
      </c>
      <c r="C34" s="50">
        <f t="shared" si="2"/>
        <v>3450</v>
      </c>
      <c r="D34" s="48">
        <v>3450</v>
      </c>
      <c r="E34" s="39">
        <v>0</v>
      </c>
      <c r="F34" s="44">
        <v>0</v>
      </c>
    </row>
    <row r="35" spans="1:6" ht="12.75" customHeight="1">
      <c r="A35" s="129" t="s">
        <v>91</v>
      </c>
      <c r="B35" s="111" t="s">
        <v>139</v>
      </c>
      <c r="C35" s="50">
        <f t="shared" si="2"/>
        <v>0</v>
      </c>
      <c r="D35" s="48">
        <v>0</v>
      </c>
      <c r="E35" s="39">
        <v>0</v>
      </c>
      <c r="F35" s="44">
        <v>0</v>
      </c>
    </row>
    <row r="36" spans="1:6" ht="12.75" customHeight="1">
      <c r="A36" s="129" t="s">
        <v>92</v>
      </c>
      <c r="B36" s="111" t="s">
        <v>140</v>
      </c>
      <c r="C36" s="50">
        <f t="shared" si="2"/>
        <v>0</v>
      </c>
      <c r="D36" s="48">
        <v>0</v>
      </c>
      <c r="E36" s="39">
        <v>0</v>
      </c>
      <c r="F36" s="44">
        <v>0</v>
      </c>
    </row>
    <row r="37" spans="1:6" ht="12.75" customHeight="1">
      <c r="A37" s="129" t="s">
        <v>93</v>
      </c>
      <c r="B37" s="111" t="s">
        <v>141</v>
      </c>
      <c r="C37" s="50">
        <f t="shared" si="2"/>
        <v>0</v>
      </c>
      <c r="D37" s="48">
        <v>0</v>
      </c>
      <c r="E37" s="39">
        <v>0</v>
      </c>
      <c r="F37" s="44">
        <v>0</v>
      </c>
    </row>
    <row r="38" spans="1:6" ht="12.75" customHeight="1">
      <c r="A38" s="129" t="s">
        <v>260</v>
      </c>
      <c r="B38" s="111" t="s">
        <v>142</v>
      </c>
      <c r="C38" s="50">
        <f t="shared" si="2"/>
        <v>0</v>
      </c>
      <c r="D38" s="48">
        <v>0</v>
      </c>
      <c r="E38" s="39">
        <v>0</v>
      </c>
      <c r="F38" s="44">
        <v>0</v>
      </c>
    </row>
    <row r="39" spans="1:6" ht="12.75" customHeight="1">
      <c r="A39" s="129" t="s">
        <v>261</v>
      </c>
      <c r="B39" s="111" t="s">
        <v>143</v>
      </c>
      <c r="C39" s="50">
        <f t="shared" si="2"/>
        <v>0</v>
      </c>
      <c r="D39" s="48">
        <v>0</v>
      </c>
      <c r="E39" s="39">
        <v>0</v>
      </c>
      <c r="F39" s="44">
        <v>0</v>
      </c>
    </row>
    <row r="40" spans="1:6" ht="12.75" customHeight="1">
      <c r="A40" s="129" t="s">
        <v>262</v>
      </c>
      <c r="B40" s="111" t="s">
        <v>144</v>
      </c>
      <c r="C40" s="50">
        <f t="shared" si="2"/>
        <v>0</v>
      </c>
      <c r="D40" s="48">
        <v>0</v>
      </c>
      <c r="E40" s="39">
        <v>0</v>
      </c>
      <c r="F40" s="44">
        <v>0</v>
      </c>
    </row>
    <row r="41" spans="1:6" ht="12.75" customHeight="1">
      <c r="A41" s="129" t="s">
        <v>263</v>
      </c>
      <c r="B41" s="111" t="s">
        <v>145</v>
      </c>
      <c r="C41" s="50">
        <f t="shared" si="2"/>
        <v>0</v>
      </c>
      <c r="D41" s="48">
        <v>0</v>
      </c>
      <c r="E41" s="39">
        <v>0</v>
      </c>
      <c r="F41" s="44">
        <v>0</v>
      </c>
    </row>
    <row r="42" spans="1:6" ht="12.75" customHeight="1" thickBot="1">
      <c r="A42" s="122" t="s">
        <v>264</v>
      </c>
      <c r="B42" s="112" t="s">
        <v>146</v>
      </c>
      <c r="C42" s="53">
        <f t="shared" si="2"/>
        <v>0</v>
      </c>
      <c r="D42" s="54">
        <v>0</v>
      </c>
      <c r="E42" s="55">
        <v>0</v>
      </c>
      <c r="F42" s="56">
        <v>0</v>
      </c>
    </row>
    <row r="43" spans="1:6" s="29" customFormat="1" ht="12.75" thickBot="1">
      <c r="A43" s="127" t="s">
        <v>16</v>
      </c>
      <c r="B43" s="108" t="s">
        <v>339</v>
      </c>
      <c r="C43" s="71">
        <f>+C44+C45+C46</f>
        <v>0</v>
      </c>
      <c r="D43" s="60">
        <f>+D44+D45+D46</f>
        <v>0</v>
      </c>
      <c r="E43" s="61">
        <f>+E44+E45+E46</f>
        <v>0</v>
      </c>
      <c r="F43" s="62">
        <f>+F44+F45+F46</f>
        <v>0</v>
      </c>
    </row>
    <row r="44" spans="1:6" ht="12.75" customHeight="1">
      <c r="A44" s="128" t="s">
        <v>265</v>
      </c>
      <c r="B44" s="109" t="s">
        <v>147</v>
      </c>
      <c r="C44" s="63">
        <f>+D44+E44+F44</f>
        <v>0</v>
      </c>
      <c r="D44" s="68">
        <v>0</v>
      </c>
      <c r="E44" s="38">
        <v>0</v>
      </c>
      <c r="F44" s="69">
        <v>0</v>
      </c>
    </row>
    <row r="45" spans="1:6" ht="12.75" customHeight="1">
      <c r="A45" s="129" t="s">
        <v>266</v>
      </c>
      <c r="B45" s="111" t="s">
        <v>148</v>
      </c>
      <c r="C45" s="50">
        <f>+D45+E45+F45</f>
        <v>0</v>
      </c>
      <c r="D45" s="48">
        <v>0</v>
      </c>
      <c r="E45" s="39">
        <v>0</v>
      </c>
      <c r="F45" s="44">
        <v>0</v>
      </c>
    </row>
    <row r="46" spans="1:6" ht="12.75" customHeight="1" thickBot="1">
      <c r="A46" s="122" t="s">
        <v>267</v>
      </c>
      <c r="B46" s="112" t="s">
        <v>149</v>
      </c>
      <c r="C46" s="53">
        <f>+D46+E46+F46</f>
        <v>0</v>
      </c>
      <c r="D46" s="54">
        <v>0</v>
      </c>
      <c r="E46" s="55">
        <v>0</v>
      </c>
      <c r="F46" s="56">
        <v>0</v>
      </c>
    </row>
    <row r="47" spans="1:6" s="29" customFormat="1" ht="12.75" thickBot="1">
      <c r="A47" s="127" t="s">
        <v>15</v>
      </c>
      <c r="B47" s="113" t="s">
        <v>340</v>
      </c>
      <c r="C47" s="71">
        <f>+C48+C55+C61</f>
        <v>0</v>
      </c>
      <c r="D47" s="60">
        <f>+D48+D55+D61</f>
        <v>0</v>
      </c>
      <c r="E47" s="61">
        <f>+E48+E55+E61</f>
        <v>0</v>
      </c>
      <c r="F47" s="62">
        <f>+F48+F55+F61</f>
        <v>0</v>
      </c>
    </row>
    <row r="48" spans="1:6" s="29" customFormat="1" ht="12.75" customHeight="1" thickBot="1">
      <c r="A48" s="127" t="s">
        <v>14</v>
      </c>
      <c r="B48" s="108" t="s">
        <v>341</v>
      </c>
      <c r="C48" s="71">
        <f>+C49+C50+C51+C52+C53</f>
        <v>0</v>
      </c>
      <c r="D48" s="60">
        <f>+D49+D50+D51+D52+D53</f>
        <v>0</v>
      </c>
      <c r="E48" s="61">
        <f>+E49+E50+E51+E52+E53</f>
        <v>0</v>
      </c>
      <c r="F48" s="62">
        <f>+F49+F50+F51+F52+F53</f>
        <v>0</v>
      </c>
    </row>
    <row r="49" spans="1:6" ht="12">
      <c r="A49" s="128" t="s">
        <v>223</v>
      </c>
      <c r="B49" s="109" t="s">
        <v>150</v>
      </c>
      <c r="C49" s="63">
        <f aca="true" t="shared" si="3" ref="C49:C54">+D49+E49+F49</f>
        <v>0</v>
      </c>
      <c r="D49" s="68">
        <v>0</v>
      </c>
      <c r="E49" s="38">
        <v>0</v>
      </c>
      <c r="F49" s="69">
        <v>0</v>
      </c>
    </row>
    <row r="50" spans="1:6" ht="12">
      <c r="A50" s="129" t="s">
        <v>224</v>
      </c>
      <c r="B50" s="111" t="s">
        <v>151</v>
      </c>
      <c r="C50" s="50">
        <f t="shared" si="3"/>
        <v>0</v>
      </c>
      <c r="D50" s="48">
        <v>0</v>
      </c>
      <c r="E50" s="39">
        <v>0</v>
      </c>
      <c r="F50" s="44">
        <v>0</v>
      </c>
    </row>
    <row r="51" spans="1:6" ht="12">
      <c r="A51" s="129" t="s">
        <v>225</v>
      </c>
      <c r="B51" s="111" t="s">
        <v>152</v>
      </c>
      <c r="C51" s="50">
        <f t="shared" si="3"/>
        <v>0</v>
      </c>
      <c r="D51" s="48">
        <v>0</v>
      </c>
      <c r="E51" s="39">
        <v>0</v>
      </c>
      <c r="F51" s="44">
        <v>0</v>
      </c>
    </row>
    <row r="52" spans="1:6" ht="12">
      <c r="A52" s="129" t="s">
        <v>226</v>
      </c>
      <c r="B52" s="111" t="s">
        <v>153</v>
      </c>
      <c r="C52" s="50">
        <f t="shared" si="3"/>
        <v>0</v>
      </c>
      <c r="D52" s="48">
        <v>0</v>
      </c>
      <c r="E52" s="39">
        <v>0</v>
      </c>
      <c r="F52" s="44">
        <v>0</v>
      </c>
    </row>
    <row r="53" spans="1:6" ht="12">
      <c r="A53" s="122" t="s">
        <v>227</v>
      </c>
      <c r="B53" s="112" t="s">
        <v>154</v>
      </c>
      <c r="C53" s="53">
        <f t="shared" si="3"/>
        <v>0</v>
      </c>
      <c r="D53" s="54">
        <v>0</v>
      </c>
      <c r="E53" s="55">
        <v>0</v>
      </c>
      <c r="F53" s="56">
        <v>0</v>
      </c>
    </row>
    <row r="54" spans="1:6" s="41" customFormat="1" ht="12.75" thickBot="1">
      <c r="A54" s="133" t="s">
        <v>386</v>
      </c>
      <c r="B54" s="106" t="s">
        <v>394</v>
      </c>
      <c r="C54" s="85">
        <f t="shared" si="3"/>
        <v>0</v>
      </c>
      <c r="D54" s="83">
        <v>0</v>
      </c>
      <c r="E54" s="81">
        <v>0</v>
      </c>
      <c r="F54" s="82">
        <v>0</v>
      </c>
    </row>
    <row r="55" spans="1:6" s="29" customFormat="1" ht="12.75" customHeight="1" thickBot="1">
      <c r="A55" s="127" t="s">
        <v>13</v>
      </c>
      <c r="B55" s="108" t="s">
        <v>342</v>
      </c>
      <c r="C55" s="71">
        <f>+C56+C57+C58+C59+C60</f>
        <v>0</v>
      </c>
      <c r="D55" s="60">
        <f>+D56+D57+D58+D59+D60</f>
        <v>0</v>
      </c>
      <c r="E55" s="61">
        <f>+E56+E57+E58+E59+E60</f>
        <v>0</v>
      </c>
      <c r="F55" s="62">
        <f>+F56+F57+F58+F59+F60</f>
        <v>0</v>
      </c>
    </row>
    <row r="56" spans="1:6" ht="12.75" customHeight="1">
      <c r="A56" s="128" t="s">
        <v>94</v>
      </c>
      <c r="B56" s="109" t="s">
        <v>155</v>
      </c>
      <c r="C56" s="63">
        <f>+D56+E56+F56</f>
        <v>0</v>
      </c>
      <c r="D56" s="68">
        <v>0</v>
      </c>
      <c r="E56" s="38">
        <v>0</v>
      </c>
      <c r="F56" s="69">
        <v>0</v>
      </c>
    </row>
    <row r="57" spans="1:6" ht="12.75" customHeight="1">
      <c r="A57" s="129" t="s">
        <v>95</v>
      </c>
      <c r="B57" s="111" t="s">
        <v>156</v>
      </c>
      <c r="C57" s="50">
        <f>+D57+E57+F57</f>
        <v>0</v>
      </c>
      <c r="D57" s="48">
        <v>0</v>
      </c>
      <c r="E57" s="39">
        <v>0</v>
      </c>
      <c r="F57" s="44">
        <v>0</v>
      </c>
    </row>
    <row r="58" spans="1:6" ht="12.75" customHeight="1">
      <c r="A58" s="129" t="s">
        <v>96</v>
      </c>
      <c r="B58" s="111" t="s">
        <v>157</v>
      </c>
      <c r="C58" s="50">
        <f>+D58+E58+F58</f>
        <v>0</v>
      </c>
      <c r="D58" s="48">
        <v>0</v>
      </c>
      <c r="E58" s="39">
        <v>0</v>
      </c>
      <c r="F58" s="44">
        <v>0</v>
      </c>
    </row>
    <row r="59" spans="1:6" ht="12.75" customHeight="1">
      <c r="A59" s="129" t="s">
        <v>268</v>
      </c>
      <c r="B59" s="111" t="s">
        <v>158</v>
      </c>
      <c r="C59" s="50">
        <f>+D59+E59+F59</f>
        <v>0</v>
      </c>
      <c r="D59" s="48">
        <v>0</v>
      </c>
      <c r="E59" s="39">
        <v>0</v>
      </c>
      <c r="F59" s="44">
        <v>0</v>
      </c>
    </row>
    <row r="60" spans="1:6" ht="12.75" customHeight="1" thickBot="1">
      <c r="A60" s="122" t="s">
        <v>269</v>
      </c>
      <c r="B60" s="112" t="s">
        <v>159</v>
      </c>
      <c r="C60" s="53">
        <f>+D60+E60+F60</f>
        <v>0</v>
      </c>
      <c r="D60" s="54">
        <v>0</v>
      </c>
      <c r="E60" s="55">
        <v>0</v>
      </c>
      <c r="F60" s="56">
        <v>0</v>
      </c>
    </row>
    <row r="61" spans="1:6" s="29" customFormat="1" ht="12.75" thickBot="1">
      <c r="A61" s="127" t="s">
        <v>12</v>
      </c>
      <c r="B61" s="108" t="s">
        <v>343</v>
      </c>
      <c r="C61" s="71">
        <f>+C62+C63+C64</f>
        <v>0</v>
      </c>
      <c r="D61" s="60">
        <f>+D62+D63+D64</f>
        <v>0</v>
      </c>
      <c r="E61" s="61">
        <f>+E62+E63+E64</f>
        <v>0</v>
      </c>
      <c r="F61" s="62">
        <f>+F62+F63+F64</f>
        <v>0</v>
      </c>
    </row>
    <row r="62" spans="1:6" ht="12">
      <c r="A62" s="128" t="s">
        <v>97</v>
      </c>
      <c r="B62" s="109" t="s">
        <v>160</v>
      </c>
      <c r="C62" s="63">
        <f>+D62+E62+F62</f>
        <v>0</v>
      </c>
      <c r="D62" s="68">
        <v>0</v>
      </c>
      <c r="E62" s="38">
        <v>0</v>
      </c>
      <c r="F62" s="69">
        <v>0</v>
      </c>
    </row>
    <row r="63" spans="1:6" ht="12">
      <c r="A63" s="129" t="s">
        <v>98</v>
      </c>
      <c r="B63" s="111" t="s">
        <v>161</v>
      </c>
      <c r="C63" s="50">
        <f>+D63+E63+F63</f>
        <v>0</v>
      </c>
      <c r="D63" s="48">
        <v>0</v>
      </c>
      <c r="E63" s="39">
        <v>0</v>
      </c>
      <c r="F63" s="44">
        <v>0</v>
      </c>
    </row>
    <row r="64" spans="1:6" ht="12.75" thickBot="1">
      <c r="A64" s="122" t="s">
        <v>99</v>
      </c>
      <c r="B64" s="112" t="s">
        <v>162</v>
      </c>
      <c r="C64" s="53">
        <f>+D64+E64+F64</f>
        <v>0</v>
      </c>
      <c r="D64" s="54">
        <v>0</v>
      </c>
      <c r="E64" s="55">
        <v>0</v>
      </c>
      <c r="F64" s="56">
        <v>0</v>
      </c>
    </row>
    <row r="65" spans="1:6" s="29" customFormat="1" ht="12.75" thickBot="1">
      <c r="A65" s="127" t="s">
        <v>11</v>
      </c>
      <c r="B65" s="113" t="s">
        <v>344</v>
      </c>
      <c r="C65" s="71">
        <f>+C10+C47</f>
        <v>3700</v>
      </c>
      <c r="D65" s="60">
        <f>+D10+D47</f>
        <v>3700</v>
      </c>
      <c r="E65" s="61">
        <f>+E10+E47</f>
        <v>0</v>
      </c>
      <c r="F65" s="62">
        <f>+F10+F47</f>
        <v>0</v>
      </c>
    </row>
    <row r="66" spans="1:6" s="29" customFormat="1" ht="12.75" thickBot="1">
      <c r="A66" s="127" t="s">
        <v>10</v>
      </c>
      <c r="B66" s="114" t="s">
        <v>345</v>
      </c>
      <c r="C66" s="71">
        <f>+C67</f>
        <v>60042</v>
      </c>
      <c r="D66" s="60">
        <f>+D67</f>
        <v>60042</v>
      </c>
      <c r="E66" s="61">
        <f>+E67</f>
        <v>0</v>
      </c>
      <c r="F66" s="62">
        <f>+F67</f>
        <v>0</v>
      </c>
    </row>
    <row r="67" spans="1:6" s="29" customFormat="1" ht="12.75" thickBot="1">
      <c r="A67" s="127" t="s">
        <v>9</v>
      </c>
      <c r="B67" s="108" t="s">
        <v>346</v>
      </c>
      <c r="C67" s="71">
        <f>+C68+C77+C78</f>
        <v>60042</v>
      </c>
      <c r="D67" s="60">
        <f>+D68+D77+D78</f>
        <v>60042</v>
      </c>
      <c r="E67" s="61">
        <f>+E68+E77+E78</f>
        <v>0</v>
      </c>
      <c r="F67" s="62">
        <f>+F68+F77+F78</f>
        <v>0</v>
      </c>
    </row>
    <row r="68" spans="1:6" ht="12">
      <c r="A68" s="128" t="s">
        <v>101</v>
      </c>
      <c r="B68" s="109" t="s">
        <v>347</v>
      </c>
      <c r="C68" s="63">
        <f>+C69+C70+C71+C72+C73+C74+C75+C76</f>
        <v>60042</v>
      </c>
      <c r="D68" s="68">
        <f>+D69+D70+D71+D72+D73+D74+D75+D76</f>
        <v>60042</v>
      </c>
      <c r="E68" s="38">
        <f>+E69+E70+E71+E72+E73+E74+E75+E76</f>
        <v>0</v>
      </c>
      <c r="F68" s="69">
        <f>+F69+F70+F71+F72+F73+F74+F75+F76</f>
        <v>0</v>
      </c>
    </row>
    <row r="69" spans="1:6" s="41" customFormat="1" ht="12">
      <c r="A69" s="130" t="s">
        <v>234</v>
      </c>
      <c r="B69" s="110" t="s">
        <v>284</v>
      </c>
      <c r="C69" s="51">
        <f aca="true" t="shared" si="4" ref="C69:C78">+D69+E69+F69</f>
        <v>0</v>
      </c>
      <c r="D69" s="47">
        <v>0</v>
      </c>
      <c r="E69" s="40">
        <v>0</v>
      </c>
      <c r="F69" s="43">
        <v>0</v>
      </c>
    </row>
    <row r="70" spans="1:6" s="41" customFormat="1" ht="12">
      <c r="A70" s="130" t="s">
        <v>235</v>
      </c>
      <c r="B70" s="110" t="s">
        <v>285</v>
      </c>
      <c r="C70" s="51">
        <f t="shared" si="4"/>
        <v>0</v>
      </c>
      <c r="D70" s="47">
        <v>0</v>
      </c>
      <c r="E70" s="40">
        <v>0</v>
      </c>
      <c r="F70" s="43">
        <v>0</v>
      </c>
    </row>
    <row r="71" spans="1:6" s="41" customFormat="1" ht="12">
      <c r="A71" s="130" t="s">
        <v>236</v>
      </c>
      <c r="B71" s="110" t="s">
        <v>286</v>
      </c>
      <c r="C71" s="51">
        <f t="shared" si="4"/>
        <v>0</v>
      </c>
      <c r="D71" s="47">
        <v>0</v>
      </c>
      <c r="E71" s="40">
        <v>0</v>
      </c>
      <c r="F71" s="43">
        <v>0</v>
      </c>
    </row>
    <row r="72" spans="1:6" s="41" customFormat="1" ht="12">
      <c r="A72" s="130" t="s">
        <v>237</v>
      </c>
      <c r="B72" s="110" t="s">
        <v>287</v>
      </c>
      <c r="C72" s="51">
        <f t="shared" si="4"/>
        <v>0</v>
      </c>
      <c r="D72" s="47">
        <v>0</v>
      </c>
      <c r="E72" s="40">
        <v>0</v>
      </c>
      <c r="F72" s="43">
        <v>0</v>
      </c>
    </row>
    <row r="73" spans="1:6" s="41" customFormat="1" ht="12">
      <c r="A73" s="130" t="s">
        <v>238</v>
      </c>
      <c r="B73" s="110" t="s">
        <v>288</v>
      </c>
      <c r="C73" s="51">
        <f t="shared" si="4"/>
        <v>0</v>
      </c>
      <c r="D73" s="47">
        <v>0</v>
      </c>
      <c r="E73" s="40">
        <v>0</v>
      </c>
      <c r="F73" s="43">
        <v>0</v>
      </c>
    </row>
    <row r="74" spans="1:6" s="41" customFormat="1" ht="12">
      <c r="A74" s="130" t="s">
        <v>239</v>
      </c>
      <c r="B74" s="110" t="s">
        <v>289</v>
      </c>
      <c r="C74" s="51">
        <f t="shared" si="4"/>
        <v>60042</v>
      </c>
      <c r="D74" s="47">
        <v>60042</v>
      </c>
      <c r="E74" s="40">
        <v>0</v>
      </c>
      <c r="F74" s="43">
        <v>0</v>
      </c>
    </row>
    <row r="75" spans="1:6" s="41" customFormat="1" ht="12">
      <c r="A75" s="130" t="s">
        <v>242</v>
      </c>
      <c r="B75" s="110" t="s">
        <v>290</v>
      </c>
      <c r="C75" s="51">
        <f t="shared" si="4"/>
        <v>0</v>
      </c>
      <c r="D75" s="47">
        <v>0</v>
      </c>
      <c r="E75" s="40">
        <v>0</v>
      </c>
      <c r="F75" s="43">
        <v>0</v>
      </c>
    </row>
    <row r="76" spans="1:6" s="41" customFormat="1" ht="12">
      <c r="A76" s="130" t="s">
        <v>240</v>
      </c>
      <c r="B76" s="110" t="s">
        <v>283</v>
      </c>
      <c r="C76" s="51">
        <f t="shared" si="4"/>
        <v>0</v>
      </c>
      <c r="D76" s="47">
        <v>0</v>
      </c>
      <c r="E76" s="40">
        <v>0</v>
      </c>
      <c r="F76" s="43">
        <v>0</v>
      </c>
    </row>
    <row r="77" spans="1:6" ht="12">
      <c r="A77" s="129" t="s">
        <v>102</v>
      </c>
      <c r="B77" s="111" t="s">
        <v>281</v>
      </c>
      <c r="C77" s="50">
        <f t="shared" si="4"/>
        <v>0</v>
      </c>
      <c r="D77" s="48">
        <v>0</v>
      </c>
      <c r="E77" s="39">
        <v>0</v>
      </c>
      <c r="F77" s="44">
        <v>0</v>
      </c>
    </row>
    <row r="78" spans="1:6" ht="12.75" thickBot="1">
      <c r="A78" s="122" t="s">
        <v>241</v>
      </c>
      <c r="B78" s="112" t="s">
        <v>282</v>
      </c>
      <c r="C78" s="53">
        <f t="shared" si="4"/>
        <v>0</v>
      </c>
      <c r="D78" s="54">
        <v>0</v>
      </c>
      <c r="E78" s="55">
        <v>0</v>
      </c>
      <c r="F78" s="56">
        <v>0</v>
      </c>
    </row>
    <row r="79" spans="1:6" s="29" customFormat="1" ht="12.75" thickBot="1">
      <c r="A79" s="127" t="s">
        <v>73</v>
      </c>
      <c r="B79" s="114" t="s">
        <v>348</v>
      </c>
      <c r="C79" s="71">
        <f>+C80</f>
        <v>0</v>
      </c>
      <c r="D79" s="60">
        <f>+D80</f>
        <v>0</v>
      </c>
      <c r="E79" s="61">
        <f>+E80</f>
        <v>0</v>
      </c>
      <c r="F79" s="62">
        <f>+F80</f>
        <v>0</v>
      </c>
    </row>
    <row r="80" spans="1:6" s="29" customFormat="1" ht="12.75" thickBot="1">
      <c r="A80" s="127" t="s">
        <v>72</v>
      </c>
      <c r="B80" s="108" t="s">
        <v>349</v>
      </c>
      <c r="C80" s="71">
        <f>+C81+C90+C91</f>
        <v>0</v>
      </c>
      <c r="D80" s="60">
        <f>+D81+D90+D91</f>
        <v>0</v>
      </c>
      <c r="E80" s="61">
        <f>+E81+E90+E91</f>
        <v>0</v>
      </c>
      <c r="F80" s="62">
        <f>+F81+F90+F91</f>
        <v>0</v>
      </c>
    </row>
    <row r="81" spans="1:6" ht="12">
      <c r="A81" s="128" t="s">
        <v>270</v>
      </c>
      <c r="B81" s="109" t="s">
        <v>350</v>
      </c>
      <c r="C81" s="63">
        <f>+C82+C83+C84+C85+C86+C87+C88+C89</f>
        <v>0</v>
      </c>
      <c r="D81" s="68">
        <f>+D82+D83+D84+D85+D86+D87+D88+D89</f>
        <v>0</v>
      </c>
      <c r="E81" s="38">
        <f>+E82+E83+E84+E85+E86+E87+E88+E89</f>
        <v>0</v>
      </c>
      <c r="F81" s="69">
        <f>+F82+F83+F84+F85+F86+F87+F88+F89</f>
        <v>0</v>
      </c>
    </row>
    <row r="82" spans="1:6" s="41" customFormat="1" ht="12">
      <c r="A82" s="130" t="s">
        <v>271</v>
      </c>
      <c r="B82" s="110" t="s">
        <v>284</v>
      </c>
      <c r="C82" s="51">
        <f aca="true" t="shared" si="5" ref="C82:C91">+D82+E82+F82</f>
        <v>0</v>
      </c>
      <c r="D82" s="47">
        <v>0</v>
      </c>
      <c r="E82" s="40">
        <v>0</v>
      </c>
      <c r="F82" s="43">
        <v>0</v>
      </c>
    </row>
    <row r="83" spans="1:6" s="41" customFormat="1" ht="12">
      <c r="A83" s="130" t="s">
        <v>272</v>
      </c>
      <c r="B83" s="110" t="s">
        <v>285</v>
      </c>
      <c r="C83" s="51">
        <f t="shared" si="5"/>
        <v>0</v>
      </c>
      <c r="D83" s="47">
        <v>0</v>
      </c>
      <c r="E83" s="40">
        <v>0</v>
      </c>
      <c r="F83" s="43">
        <v>0</v>
      </c>
    </row>
    <row r="84" spans="1:6" s="41" customFormat="1" ht="12">
      <c r="A84" s="130" t="s">
        <v>273</v>
      </c>
      <c r="B84" s="110" t="s">
        <v>286</v>
      </c>
      <c r="C84" s="51">
        <f t="shared" si="5"/>
        <v>0</v>
      </c>
      <c r="D84" s="47">
        <v>0</v>
      </c>
      <c r="E84" s="40">
        <v>0</v>
      </c>
      <c r="F84" s="43">
        <v>0</v>
      </c>
    </row>
    <row r="85" spans="1:6" s="41" customFormat="1" ht="12">
      <c r="A85" s="130" t="s">
        <v>274</v>
      </c>
      <c r="B85" s="110" t="s">
        <v>287</v>
      </c>
      <c r="C85" s="51">
        <f t="shared" si="5"/>
        <v>0</v>
      </c>
      <c r="D85" s="47">
        <v>0</v>
      </c>
      <c r="E85" s="40">
        <v>0</v>
      </c>
      <c r="F85" s="43">
        <v>0</v>
      </c>
    </row>
    <row r="86" spans="1:6" s="41" customFormat="1" ht="12">
      <c r="A86" s="130" t="s">
        <v>275</v>
      </c>
      <c r="B86" s="110" t="s">
        <v>288</v>
      </c>
      <c r="C86" s="51">
        <f t="shared" si="5"/>
        <v>0</v>
      </c>
      <c r="D86" s="47">
        <v>0</v>
      </c>
      <c r="E86" s="40">
        <v>0</v>
      </c>
      <c r="F86" s="43">
        <v>0</v>
      </c>
    </row>
    <row r="87" spans="1:6" s="41" customFormat="1" ht="12">
      <c r="A87" s="130" t="s">
        <v>276</v>
      </c>
      <c r="B87" s="110" t="s">
        <v>289</v>
      </c>
      <c r="C87" s="51">
        <f t="shared" si="5"/>
        <v>0</v>
      </c>
      <c r="D87" s="47">
        <v>0</v>
      </c>
      <c r="E87" s="40">
        <v>0</v>
      </c>
      <c r="F87" s="43">
        <v>0</v>
      </c>
    </row>
    <row r="88" spans="1:6" s="41" customFormat="1" ht="12">
      <c r="A88" s="130" t="s">
        <v>277</v>
      </c>
      <c r="B88" s="110" t="s">
        <v>290</v>
      </c>
      <c r="C88" s="51">
        <f t="shared" si="5"/>
        <v>0</v>
      </c>
      <c r="D88" s="47">
        <v>0</v>
      </c>
      <c r="E88" s="40">
        <v>0</v>
      </c>
      <c r="F88" s="43">
        <v>0</v>
      </c>
    </row>
    <row r="89" spans="1:6" s="41" customFormat="1" ht="12">
      <c r="A89" s="130" t="s">
        <v>278</v>
      </c>
      <c r="B89" s="110" t="s">
        <v>283</v>
      </c>
      <c r="C89" s="51">
        <f t="shared" si="5"/>
        <v>0</v>
      </c>
      <c r="D89" s="47">
        <v>0</v>
      </c>
      <c r="E89" s="40">
        <v>0</v>
      </c>
      <c r="F89" s="43">
        <v>0</v>
      </c>
    </row>
    <row r="90" spans="1:6" ht="12">
      <c r="A90" s="129" t="s">
        <v>279</v>
      </c>
      <c r="B90" s="111" t="s">
        <v>281</v>
      </c>
      <c r="C90" s="50">
        <f t="shared" si="5"/>
        <v>0</v>
      </c>
      <c r="D90" s="48">
        <v>0</v>
      </c>
      <c r="E90" s="39">
        <v>0</v>
      </c>
      <c r="F90" s="44">
        <v>0</v>
      </c>
    </row>
    <row r="91" spans="1:6" ht="12.75" thickBot="1">
      <c r="A91" s="122" t="s">
        <v>280</v>
      </c>
      <c r="B91" s="112" t="s">
        <v>282</v>
      </c>
      <c r="C91" s="53">
        <f t="shared" si="5"/>
        <v>0</v>
      </c>
      <c r="D91" s="54">
        <v>0</v>
      </c>
      <c r="E91" s="55">
        <v>0</v>
      </c>
      <c r="F91" s="56">
        <v>0</v>
      </c>
    </row>
    <row r="92" spans="1:6" s="29" customFormat="1" ht="12.75" thickBot="1">
      <c r="A92" s="127" t="s">
        <v>71</v>
      </c>
      <c r="B92" s="113" t="s">
        <v>351</v>
      </c>
      <c r="C92" s="71">
        <f>+C66+C79</f>
        <v>60042</v>
      </c>
      <c r="D92" s="60">
        <f>+D66+D79</f>
        <v>60042</v>
      </c>
      <c r="E92" s="61">
        <f>+E66+E79</f>
        <v>0</v>
      </c>
      <c r="F92" s="62">
        <f>+F66+F79</f>
        <v>0</v>
      </c>
    </row>
    <row r="93" spans="1:6" s="29" customFormat="1" ht="12.75" thickBot="1">
      <c r="A93" s="131" t="s">
        <v>68</v>
      </c>
      <c r="B93" s="115" t="s">
        <v>352</v>
      </c>
      <c r="C93" s="72">
        <f>+C65+C92</f>
        <v>63742</v>
      </c>
      <c r="D93" s="57">
        <f>+D65+D92</f>
        <v>63742</v>
      </c>
      <c r="E93" s="58">
        <f>+E65+E92</f>
        <v>0</v>
      </c>
      <c r="F93" s="59">
        <f>+F65+F92</f>
        <v>0</v>
      </c>
    </row>
    <row r="94" spans="1:6" s="29" customFormat="1" ht="12">
      <c r="A94" s="93"/>
      <c r="B94" s="64"/>
      <c r="C94" s="64"/>
      <c r="D94" s="64"/>
      <c r="E94" s="64"/>
      <c r="F94" s="64"/>
    </row>
    <row r="95" spans="1:6" s="29" customFormat="1" ht="12">
      <c r="A95" s="93"/>
      <c r="B95" s="64"/>
      <c r="C95" s="64"/>
      <c r="D95" s="64"/>
      <c r="E95" s="64"/>
      <c r="F95" s="64"/>
    </row>
    <row r="96" spans="1:6" s="92" customFormat="1" ht="15.75">
      <c r="A96" s="1298" t="s">
        <v>108</v>
      </c>
      <c r="B96" s="1298"/>
      <c r="C96" s="1298"/>
      <c r="D96" s="1298"/>
      <c r="E96" s="1298"/>
      <c r="F96" s="1298"/>
    </row>
    <row r="97" spans="1:6" s="73" customFormat="1" ht="12.75" thickBot="1">
      <c r="A97" s="75" t="s">
        <v>317</v>
      </c>
      <c r="F97" s="74" t="s">
        <v>319</v>
      </c>
    </row>
    <row r="98" spans="1:6" s="29" customFormat="1" ht="48.75" thickBot="1">
      <c r="A98" s="123" t="s">
        <v>17</v>
      </c>
      <c r="B98" s="124" t="s">
        <v>379</v>
      </c>
      <c r="C98" s="76" t="s">
        <v>419</v>
      </c>
      <c r="D98" s="32" t="s">
        <v>79</v>
      </c>
      <c r="E98" s="33" t="s">
        <v>80</v>
      </c>
      <c r="F98" s="34" t="s">
        <v>81</v>
      </c>
    </row>
    <row r="99" spans="1:6" s="29" customFormat="1" ht="12.75" thickBot="1">
      <c r="A99" s="125" t="s">
        <v>291</v>
      </c>
      <c r="B99" s="126" t="s">
        <v>292</v>
      </c>
      <c r="C99" s="1303" t="s">
        <v>293</v>
      </c>
      <c r="D99" s="1304"/>
      <c r="E99" s="1304"/>
      <c r="F99" s="1305"/>
    </row>
    <row r="100" spans="1:6" s="29" customFormat="1" ht="12.75" thickBot="1">
      <c r="A100" s="127" t="s">
        <v>4</v>
      </c>
      <c r="B100" s="113" t="s">
        <v>353</v>
      </c>
      <c r="C100" s="71">
        <f>+C101+C105+C107+C114+C123</f>
        <v>63742</v>
      </c>
      <c r="D100" s="60">
        <f>+D101+D105+D107+D114+D123</f>
        <v>63742</v>
      </c>
      <c r="E100" s="61">
        <f>+E101+E105+E107+E114+E123</f>
        <v>0</v>
      </c>
      <c r="F100" s="62">
        <f>+F101+F105+F107+F114+F123</f>
        <v>0</v>
      </c>
    </row>
    <row r="101" spans="1:6" s="29" customFormat="1" ht="12.75" thickBot="1">
      <c r="A101" s="127" t="s">
        <v>5</v>
      </c>
      <c r="B101" s="108" t="s">
        <v>354</v>
      </c>
      <c r="C101" s="71">
        <f>+C103+C104</f>
        <v>21989</v>
      </c>
      <c r="D101" s="60">
        <f>+D103+D104</f>
        <v>21989</v>
      </c>
      <c r="E101" s="61">
        <f>+E103+E104</f>
        <v>0</v>
      </c>
      <c r="F101" s="62">
        <f>+F103+F104</f>
        <v>0</v>
      </c>
    </row>
    <row r="102" spans="1:6" s="73" customFormat="1" ht="12">
      <c r="A102" s="140" t="s">
        <v>406</v>
      </c>
      <c r="B102" s="141" t="s">
        <v>407</v>
      </c>
      <c r="C102" s="142">
        <f>+D102+E102+F102</f>
        <v>0</v>
      </c>
      <c r="D102" s="143">
        <v>0</v>
      </c>
      <c r="E102" s="144">
        <v>0</v>
      </c>
      <c r="F102" s="145">
        <v>0</v>
      </c>
    </row>
    <row r="103" spans="1:6" ht="12">
      <c r="A103" s="128" t="s">
        <v>82</v>
      </c>
      <c r="B103" s="109" t="s">
        <v>163</v>
      </c>
      <c r="C103" s="63">
        <f>+D103+E103+F103</f>
        <v>21989</v>
      </c>
      <c r="D103" s="68">
        <v>21989</v>
      </c>
      <c r="E103" s="38">
        <v>0</v>
      </c>
      <c r="F103" s="69">
        <v>0</v>
      </c>
    </row>
    <row r="104" spans="1:6" ht="12.75" thickBot="1">
      <c r="A104" s="122" t="s">
        <v>83</v>
      </c>
      <c r="B104" s="112" t="s">
        <v>164</v>
      </c>
      <c r="C104" s="53">
        <f>+D104+E104+F104</f>
        <v>0</v>
      </c>
      <c r="D104" s="54">
        <v>0</v>
      </c>
      <c r="E104" s="55">
        <v>0</v>
      </c>
      <c r="F104" s="56">
        <v>0</v>
      </c>
    </row>
    <row r="105" spans="1:6" s="29" customFormat="1" ht="12.75" thickBot="1">
      <c r="A105" s="127" t="s">
        <v>6</v>
      </c>
      <c r="B105" s="108" t="s">
        <v>294</v>
      </c>
      <c r="C105" s="71">
        <f>+D105+E105+F105</f>
        <v>5823</v>
      </c>
      <c r="D105" s="60">
        <v>5823</v>
      </c>
      <c r="E105" s="61">
        <v>0</v>
      </c>
      <c r="F105" s="62">
        <v>0</v>
      </c>
    </row>
    <row r="106" spans="1:6" s="73" customFormat="1" ht="12.75" thickBot="1">
      <c r="A106" s="140" t="s">
        <v>403</v>
      </c>
      <c r="B106" s="141" t="s">
        <v>404</v>
      </c>
      <c r="C106" s="142">
        <f>+D106+E106+F106</f>
        <v>0</v>
      </c>
      <c r="D106" s="143">
        <v>0</v>
      </c>
      <c r="E106" s="144">
        <v>0</v>
      </c>
      <c r="F106" s="145">
        <v>0</v>
      </c>
    </row>
    <row r="107" spans="1:6" s="29" customFormat="1" ht="12.75" thickBot="1">
      <c r="A107" s="127" t="s">
        <v>3</v>
      </c>
      <c r="B107" s="108" t="s">
        <v>400</v>
      </c>
      <c r="C107" s="71">
        <f>+C109+C110+C111+C112+C113</f>
        <v>35930</v>
      </c>
      <c r="D107" s="60">
        <f>+D109+D110+D111+D112+D113</f>
        <v>35930</v>
      </c>
      <c r="E107" s="61">
        <f>+E109+E110+E111+E112+E113</f>
        <v>0</v>
      </c>
      <c r="F107" s="62">
        <f>+F109+F110+F111+F112+F113</f>
        <v>0</v>
      </c>
    </row>
    <row r="108" spans="1:6" s="73" customFormat="1" ht="12">
      <c r="A108" s="140" t="s">
        <v>398</v>
      </c>
      <c r="B108" s="141" t="s">
        <v>405</v>
      </c>
      <c r="C108" s="142">
        <f aca="true" t="shared" si="6" ref="C108:C113">+D108+E108+F108</f>
        <v>0</v>
      </c>
      <c r="D108" s="143">
        <v>0</v>
      </c>
      <c r="E108" s="144">
        <v>0</v>
      </c>
      <c r="F108" s="145">
        <v>0</v>
      </c>
    </row>
    <row r="109" spans="1:6" ht="12">
      <c r="A109" s="128" t="s">
        <v>89</v>
      </c>
      <c r="B109" s="109" t="s">
        <v>165</v>
      </c>
      <c r="C109" s="63">
        <f t="shared" si="6"/>
        <v>1170</v>
      </c>
      <c r="D109" s="68">
        <v>1170</v>
      </c>
      <c r="E109" s="38">
        <v>0</v>
      </c>
      <c r="F109" s="69">
        <v>0</v>
      </c>
    </row>
    <row r="110" spans="1:6" ht="12">
      <c r="A110" s="129" t="s">
        <v>90</v>
      </c>
      <c r="B110" s="111" t="s">
        <v>166</v>
      </c>
      <c r="C110" s="50">
        <f t="shared" si="6"/>
        <v>500</v>
      </c>
      <c r="D110" s="48">
        <v>500</v>
      </c>
      <c r="E110" s="39">
        <v>0</v>
      </c>
      <c r="F110" s="44">
        <v>0</v>
      </c>
    </row>
    <row r="111" spans="1:6" ht="12">
      <c r="A111" s="129" t="s">
        <v>91</v>
      </c>
      <c r="B111" s="111" t="s">
        <v>167</v>
      </c>
      <c r="C111" s="50">
        <f t="shared" si="6"/>
        <v>25378</v>
      </c>
      <c r="D111" s="48">
        <v>25378</v>
      </c>
      <c r="E111" s="39">
        <v>0</v>
      </c>
      <c r="F111" s="44">
        <v>0</v>
      </c>
    </row>
    <row r="112" spans="1:6" ht="12">
      <c r="A112" s="129" t="s">
        <v>92</v>
      </c>
      <c r="B112" s="111" t="s">
        <v>168</v>
      </c>
      <c r="C112" s="50">
        <f t="shared" si="6"/>
        <v>1210</v>
      </c>
      <c r="D112" s="48">
        <v>1210</v>
      </c>
      <c r="E112" s="39">
        <v>0</v>
      </c>
      <c r="F112" s="44">
        <v>0</v>
      </c>
    </row>
    <row r="113" spans="1:6" ht="12.75" thickBot="1">
      <c r="A113" s="122" t="s">
        <v>93</v>
      </c>
      <c r="B113" s="112" t="s">
        <v>169</v>
      </c>
      <c r="C113" s="53">
        <f t="shared" si="6"/>
        <v>7672</v>
      </c>
      <c r="D113" s="54">
        <v>7672</v>
      </c>
      <c r="E113" s="55">
        <v>0</v>
      </c>
      <c r="F113" s="56">
        <v>0</v>
      </c>
    </row>
    <row r="114" spans="1:6" s="29" customFormat="1" ht="12.75" thickBot="1">
      <c r="A114" s="127" t="s">
        <v>16</v>
      </c>
      <c r="B114" s="108" t="s">
        <v>355</v>
      </c>
      <c r="C114" s="71">
        <f>+C115+C116+C117+C118+C119+C120+C121+C122</f>
        <v>0</v>
      </c>
      <c r="D114" s="60">
        <f>+D115+D116+D117+D118+D119+D120+D121+D122</f>
        <v>0</v>
      </c>
      <c r="E114" s="61">
        <f>+E115+E116+E117+E118+E119+E120+E121+E122</f>
        <v>0</v>
      </c>
      <c r="F114" s="62">
        <f>+F115+F116+F117+F118+F119+F120+F121+F122</f>
        <v>0</v>
      </c>
    </row>
    <row r="115" spans="1:6" ht="12">
      <c r="A115" s="128" t="s">
        <v>265</v>
      </c>
      <c r="B115" s="109" t="s">
        <v>170</v>
      </c>
      <c r="C115" s="63">
        <f aca="true" t="shared" si="7" ref="C115:C122">+D115+E115+F115</f>
        <v>0</v>
      </c>
      <c r="D115" s="68">
        <v>0</v>
      </c>
      <c r="E115" s="38">
        <v>0</v>
      </c>
      <c r="F115" s="69">
        <v>0</v>
      </c>
    </row>
    <row r="116" spans="1:6" ht="12">
      <c r="A116" s="129" t="s">
        <v>266</v>
      </c>
      <c r="B116" s="111" t="s">
        <v>171</v>
      </c>
      <c r="C116" s="50">
        <f t="shared" si="7"/>
        <v>0</v>
      </c>
      <c r="D116" s="48">
        <v>0</v>
      </c>
      <c r="E116" s="39">
        <v>0</v>
      </c>
      <c r="F116" s="44">
        <v>0</v>
      </c>
    </row>
    <row r="117" spans="1:6" ht="12">
      <c r="A117" s="129" t="s">
        <v>267</v>
      </c>
      <c r="B117" s="111" t="s">
        <v>172</v>
      </c>
      <c r="C117" s="50">
        <f t="shared" si="7"/>
        <v>0</v>
      </c>
      <c r="D117" s="48">
        <v>0</v>
      </c>
      <c r="E117" s="39">
        <v>0</v>
      </c>
      <c r="F117" s="44">
        <v>0</v>
      </c>
    </row>
    <row r="118" spans="1:6" ht="12">
      <c r="A118" s="129" t="s">
        <v>295</v>
      </c>
      <c r="B118" s="111" t="s">
        <v>173</v>
      </c>
      <c r="C118" s="50">
        <f t="shared" si="7"/>
        <v>0</v>
      </c>
      <c r="D118" s="48">
        <v>0</v>
      </c>
      <c r="E118" s="39">
        <v>0</v>
      </c>
      <c r="F118" s="44">
        <v>0</v>
      </c>
    </row>
    <row r="119" spans="1:6" ht="12">
      <c r="A119" s="129" t="s">
        <v>296</v>
      </c>
      <c r="B119" s="111" t="s">
        <v>174</v>
      </c>
      <c r="C119" s="50">
        <f t="shared" si="7"/>
        <v>0</v>
      </c>
      <c r="D119" s="48">
        <v>0</v>
      </c>
      <c r="E119" s="39">
        <v>0</v>
      </c>
      <c r="F119" s="44">
        <v>0</v>
      </c>
    </row>
    <row r="120" spans="1:6" ht="12">
      <c r="A120" s="129" t="s">
        <v>297</v>
      </c>
      <c r="B120" s="111" t="s">
        <v>175</v>
      </c>
      <c r="C120" s="50">
        <f t="shared" si="7"/>
        <v>0</v>
      </c>
      <c r="D120" s="48">
        <v>0</v>
      </c>
      <c r="E120" s="39">
        <v>0</v>
      </c>
      <c r="F120" s="44">
        <v>0</v>
      </c>
    </row>
    <row r="121" spans="1:6" ht="12">
      <c r="A121" s="129" t="s">
        <v>298</v>
      </c>
      <c r="B121" s="111" t="s">
        <v>176</v>
      </c>
      <c r="C121" s="50">
        <f t="shared" si="7"/>
        <v>0</v>
      </c>
      <c r="D121" s="48">
        <v>0</v>
      </c>
      <c r="E121" s="39">
        <v>0</v>
      </c>
      <c r="F121" s="44">
        <v>0</v>
      </c>
    </row>
    <row r="122" spans="1:6" ht="12.75" thickBot="1">
      <c r="A122" s="122" t="s">
        <v>299</v>
      </c>
      <c r="B122" s="112" t="s">
        <v>177</v>
      </c>
      <c r="C122" s="53">
        <f t="shared" si="7"/>
        <v>0</v>
      </c>
      <c r="D122" s="54">
        <v>0</v>
      </c>
      <c r="E122" s="55">
        <v>0</v>
      </c>
      <c r="F122" s="56">
        <v>0</v>
      </c>
    </row>
    <row r="123" spans="1:6" s="29" customFormat="1" ht="12.75" thickBot="1">
      <c r="A123" s="127" t="s">
        <v>15</v>
      </c>
      <c r="B123" s="108" t="s">
        <v>356</v>
      </c>
      <c r="C123" s="71">
        <f>+C124+C125+C126+C127+C128+C129+C131+C132+C133+C134+C135+C136</f>
        <v>0</v>
      </c>
      <c r="D123" s="60">
        <f>+D124+D125+D126+D127+D128+D129+D131+D132+D133+D134+D135+D136</f>
        <v>0</v>
      </c>
      <c r="E123" s="61">
        <f>+E124+E125+E126+E127+E128+E129+E131+E132+E133+E134+E135+E136</f>
        <v>0</v>
      </c>
      <c r="F123" s="62">
        <f>+F124+F125+F126+F127+F128+F129+F131+F132+F133+F134+F135+F136</f>
        <v>0</v>
      </c>
    </row>
    <row r="124" spans="1:6" ht="12">
      <c r="A124" s="128" t="s">
        <v>115</v>
      </c>
      <c r="B124" s="109" t="s">
        <v>178</v>
      </c>
      <c r="C124" s="63">
        <f aca="true" t="shared" si="8" ref="C124:C135">+D124+E124+F124</f>
        <v>0</v>
      </c>
      <c r="D124" s="68">
        <v>0</v>
      </c>
      <c r="E124" s="38">
        <v>0</v>
      </c>
      <c r="F124" s="69">
        <v>0</v>
      </c>
    </row>
    <row r="125" spans="1:6" ht="12">
      <c r="A125" s="129" t="s">
        <v>116</v>
      </c>
      <c r="B125" s="111" t="s">
        <v>179</v>
      </c>
      <c r="C125" s="50">
        <f t="shared" si="8"/>
        <v>0</v>
      </c>
      <c r="D125" s="48">
        <v>0</v>
      </c>
      <c r="E125" s="39">
        <v>0</v>
      </c>
      <c r="F125" s="44">
        <v>0</v>
      </c>
    </row>
    <row r="126" spans="1:6" ht="12">
      <c r="A126" s="129" t="s">
        <v>220</v>
      </c>
      <c r="B126" s="111" t="s">
        <v>180</v>
      </c>
      <c r="C126" s="50">
        <f t="shared" si="8"/>
        <v>0</v>
      </c>
      <c r="D126" s="48">
        <v>0</v>
      </c>
      <c r="E126" s="39">
        <v>0</v>
      </c>
      <c r="F126" s="44">
        <v>0</v>
      </c>
    </row>
    <row r="127" spans="1:6" ht="12">
      <c r="A127" s="129" t="s">
        <v>221</v>
      </c>
      <c r="B127" s="111" t="s">
        <v>181</v>
      </c>
      <c r="C127" s="50">
        <f t="shared" si="8"/>
        <v>0</v>
      </c>
      <c r="D127" s="48">
        <v>0</v>
      </c>
      <c r="E127" s="39">
        <v>0</v>
      </c>
      <c r="F127" s="44">
        <v>0</v>
      </c>
    </row>
    <row r="128" spans="1:6" ht="12">
      <c r="A128" s="129" t="s">
        <v>222</v>
      </c>
      <c r="B128" s="111" t="s">
        <v>182</v>
      </c>
      <c r="C128" s="50">
        <f t="shared" si="8"/>
        <v>0</v>
      </c>
      <c r="D128" s="48">
        <v>0</v>
      </c>
      <c r="E128" s="39">
        <v>0</v>
      </c>
      <c r="F128" s="44">
        <v>0</v>
      </c>
    </row>
    <row r="129" spans="1:6" ht="12">
      <c r="A129" s="129" t="s">
        <v>300</v>
      </c>
      <c r="B129" s="111" t="s">
        <v>183</v>
      </c>
      <c r="C129" s="50">
        <f t="shared" si="8"/>
        <v>0</v>
      </c>
      <c r="D129" s="48">
        <v>0</v>
      </c>
      <c r="E129" s="39">
        <v>0</v>
      </c>
      <c r="F129" s="44">
        <v>0</v>
      </c>
    </row>
    <row r="130" spans="1:6" s="41" customFormat="1" ht="12">
      <c r="A130" s="133" t="s">
        <v>392</v>
      </c>
      <c r="B130" s="106" t="s">
        <v>393</v>
      </c>
      <c r="C130" s="85">
        <f t="shared" si="8"/>
        <v>0</v>
      </c>
      <c r="D130" s="83">
        <v>0</v>
      </c>
      <c r="E130" s="81">
        <v>0</v>
      </c>
      <c r="F130" s="82">
        <v>0</v>
      </c>
    </row>
    <row r="131" spans="1:6" ht="12">
      <c r="A131" s="129" t="s">
        <v>301</v>
      </c>
      <c r="B131" s="111" t="s">
        <v>184</v>
      </c>
      <c r="C131" s="50">
        <f t="shared" si="8"/>
        <v>0</v>
      </c>
      <c r="D131" s="48">
        <v>0</v>
      </c>
      <c r="E131" s="39">
        <v>0</v>
      </c>
      <c r="F131" s="44">
        <v>0</v>
      </c>
    </row>
    <row r="132" spans="1:6" ht="12">
      <c r="A132" s="129" t="s">
        <v>302</v>
      </c>
      <c r="B132" s="111" t="s">
        <v>185</v>
      </c>
      <c r="C132" s="50">
        <f t="shared" si="8"/>
        <v>0</v>
      </c>
      <c r="D132" s="48">
        <v>0</v>
      </c>
      <c r="E132" s="39">
        <v>0</v>
      </c>
      <c r="F132" s="44">
        <v>0</v>
      </c>
    </row>
    <row r="133" spans="1:6" ht="12">
      <c r="A133" s="129" t="s">
        <v>303</v>
      </c>
      <c r="B133" s="111" t="s">
        <v>186</v>
      </c>
      <c r="C133" s="50">
        <f t="shared" si="8"/>
        <v>0</v>
      </c>
      <c r="D133" s="48">
        <v>0</v>
      </c>
      <c r="E133" s="39">
        <v>0</v>
      </c>
      <c r="F133" s="44">
        <v>0</v>
      </c>
    </row>
    <row r="134" spans="1:6" ht="12">
      <c r="A134" s="129" t="s">
        <v>304</v>
      </c>
      <c r="B134" s="111" t="s">
        <v>187</v>
      </c>
      <c r="C134" s="50">
        <f t="shared" si="8"/>
        <v>0</v>
      </c>
      <c r="D134" s="48">
        <v>0</v>
      </c>
      <c r="E134" s="39">
        <v>0</v>
      </c>
      <c r="F134" s="44">
        <v>0</v>
      </c>
    </row>
    <row r="135" spans="1:6" ht="12">
      <c r="A135" s="129" t="s">
        <v>305</v>
      </c>
      <c r="B135" s="111" t="s">
        <v>188</v>
      </c>
      <c r="C135" s="50">
        <f t="shared" si="8"/>
        <v>0</v>
      </c>
      <c r="D135" s="48">
        <v>0</v>
      </c>
      <c r="E135" s="39">
        <v>0</v>
      </c>
      <c r="F135" s="44">
        <v>0</v>
      </c>
    </row>
    <row r="136" spans="1:6" ht="12">
      <c r="A136" s="122" t="s">
        <v>306</v>
      </c>
      <c r="B136" s="112" t="s">
        <v>390</v>
      </c>
      <c r="C136" s="53">
        <f>+C137+C138</f>
        <v>0</v>
      </c>
      <c r="D136" s="54">
        <f>+D137+D138</f>
        <v>0</v>
      </c>
      <c r="E136" s="55">
        <f>+E137+E138</f>
        <v>0</v>
      </c>
      <c r="F136" s="56">
        <f>+F137+F138</f>
        <v>0</v>
      </c>
    </row>
    <row r="137" spans="1:6" s="41" customFormat="1" ht="12">
      <c r="A137" s="133" t="s">
        <v>387</v>
      </c>
      <c r="B137" s="118" t="s">
        <v>389</v>
      </c>
      <c r="C137" s="85">
        <f>+D137+E137+F137</f>
        <v>0</v>
      </c>
      <c r="D137" s="83">
        <v>0</v>
      </c>
      <c r="E137" s="81">
        <v>0</v>
      </c>
      <c r="F137" s="82">
        <v>0</v>
      </c>
    </row>
    <row r="138" spans="1:6" s="41" customFormat="1" ht="12.75" thickBot="1">
      <c r="A138" s="133" t="s">
        <v>388</v>
      </c>
      <c r="B138" s="118" t="s">
        <v>397</v>
      </c>
      <c r="C138" s="85">
        <f>+D138+E138+F138</f>
        <v>0</v>
      </c>
      <c r="D138" s="83">
        <v>0</v>
      </c>
      <c r="E138" s="81">
        <v>0</v>
      </c>
      <c r="F138" s="82">
        <v>0</v>
      </c>
    </row>
    <row r="139" spans="1:6" s="29" customFormat="1" ht="12.75" thickBot="1">
      <c r="A139" s="127" t="s">
        <v>14</v>
      </c>
      <c r="B139" s="113" t="s">
        <v>357</v>
      </c>
      <c r="C139" s="71">
        <f>+C140+C149+C155</f>
        <v>0</v>
      </c>
      <c r="D139" s="60">
        <f>+D140+D149+D155</f>
        <v>0</v>
      </c>
      <c r="E139" s="61">
        <f>+E140+E149+E155</f>
        <v>0</v>
      </c>
      <c r="F139" s="62">
        <f>+F140+F149+F155</f>
        <v>0</v>
      </c>
    </row>
    <row r="140" spans="1:6" s="29" customFormat="1" ht="12.75" thickBot="1">
      <c r="A140" s="127" t="s">
        <v>13</v>
      </c>
      <c r="B140" s="108" t="s">
        <v>358</v>
      </c>
      <c r="C140" s="71">
        <f>+C142+C143+C144+C145+C146+C147+C148</f>
        <v>0</v>
      </c>
      <c r="D140" s="60">
        <f>+D142+D143+D144+D145+D146+D147+D148</f>
        <v>0</v>
      </c>
      <c r="E140" s="61">
        <f>+E142+E143+E144+E145+E146+E147+E148</f>
        <v>0</v>
      </c>
      <c r="F140" s="62">
        <f>+F142+F143+F144+F145+F146+F147+F148</f>
        <v>0</v>
      </c>
    </row>
    <row r="141" spans="1:6" s="73" customFormat="1" ht="12">
      <c r="A141" s="140" t="s">
        <v>398</v>
      </c>
      <c r="B141" s="141" t="s">
        <v>399</v>
      </c>
      <c r="C141" s="142">
        <f aca="true" t="shared" si="9" ref="C141:C148">+D141+E141+F141</f>
        <v>0</v>
      </c>
      <c r="D141" s="143">
        <v>0</v>
      </c>
      <c r="E141" s="144">
        <v>0</v>
      </c>
      <c r="F141" s="145">
        <v>0</v>
      </c>
    </row>
    <row r="142" spans="1:6" ht="12">
      <c r="A142" s="128" t="s">
        <v>94</v>
      </c>
      <c r="B142" s="109" t="s">
        <v>189</v>
      </c>
      <c r="C142" s="63">
        <f t="shared" si="9"/>
        <v>0</v>
      </c>
      <c r="D142" s="68">
        <v>0</v>
      </c>
      <c r="E142" s="38">
        <v>0</v>
      </c>
      <c r="F142" s="69">
        <v>0</v>
      </c>
    </row>
    <row r="143" spans="1:6" ht="12">
      <c r="A143" s="129" t="s">
        <v>95</v>
      </c>
      <c r="B143" s="111" t="s">
        <v>190</v>
      </c>
      <c r="C143" s="50">
        <f t="shared" si="9"/>
        <v>0</v>
      </c>
      <c r="D143" s="48">
        <v>0</v>
      </c>
      <c r="E143" s="39">
        <v>0</v>
      </c>
      <c r="F143" s="44">
        <v>0</v>
      </c>
    </row>
    <row r="144" spans="1:6" ht="12">
      <c r="A144" s="129" t="s">
        <v>96</v>
      </c>
      <c r="B144" s="111" t="s">
        <v>191</v>
      </c>
      <c r="C144" s="50">
        <f t="shared" si="9"/>
        <v>0</v>
      </c>
      <c r="D144" s="48">
        <v>0</v>
      </c>
      <c r="E144" s="39">
        <v>0</v>
      </c>
      <c r="F144" s="44">
        <v>0</v>
      </c>
    </row>
    <row r="145" spans="1:6" ht="12">
      <c r="A145" s="129" t="s">
        <v>268</v>
      </c>
      <c r="B145" s="111" t="s">
        <v>192</v>
      </c>
      <c r="C145" s="50">
        <f t="shared" si="9"/>
        <v>0</v>
      </c>
      <c r="D145" s="48">
        <v>0</v>
      </c>
      <c r="E145" s="39">
        <v>0</v>
      </c>
      <c r="F145" s="44">
        <v>0</v>
      </c>
    </row>
    <row r="146" spans="1:6" ht="12">
      <c r="A146" s="129" t="s">
        <v>269</v>
      </c>
      <c r="B146" s="111" t="s">
        <v>193</v>
      </c>
      <c r="C146" s="50">
        <f t="shared" si="9"/>
        <v>0</v>
      </c>
      <c r="D146" s="48">
        <v>0</v>
      </c>
      <c r="E146" s="39">
        <v>0</v>
      </c>
      <c r="F146" s="44">
        <v>0</v>
      </c>
    </row>
    <row r="147" spans="1:6" ht="12">
      <c r="A147" s="129" t="s">
        <v>307</v>
      </c>
      <c r="B147" s="111" t="s">
        <v>194</v>
      </c>
      <c r="C147" s="50">
        <f t="shared" si="9"/>
        <v>0</v>
      </c>
      <c r="D147" s="48">
        <v>0</v>
      </c>
      <c r="E147" s="39">
        <v>0</v>
      </c>
      <c r="F147" s="44">
        <v>0</v>
      </c>
    </row>
    <row r="148" spans="1:6" ht="12.75" thickBot="1">
      <c r="A148" s="122" t="s">
        <v>308</v>
      </c>
      <c r="B148" s="112" t="s">
        <v>195</v>
      </c>
      <c r="C148" s="53">
        <f t="shared" si="9"/>
        <v>0</v>
      </c>
      <c r="D148" s="54">
        <v>0</v>
      </c>
      <c r="E148" s="55">
        <v>0</v>
      </c>
      <c r="F148" s="56">
        <v>0</v>
      </c>
    </row>
    <row r="149" spans="1:6" s="29" customFormat="1" ht="12.75" thickBot="1">
      <c r="A149" s="127" t="s">
        <v>12</v>
      </c>
      <c r="B149" s="108" t="s">
        <v>359</v>
      </c>
      <c r="C149" s="71">
        <f>+C151+C152+C153+C154</f>
        <v>0</v>
      </c>
      <c r="D149" s="60">
        <f>+D151+D152+D153+D154</f>
        <v>0</v>
      </c>
      <c r="E149" s="61">
        <f>+E151+E152+E153+E154</f>
        <v>0</v>
      </c>
      <c r="F149" s="62">
        <f>+F151+F152+F153+F154</f>
        <v>0</v>
      </c>
    </row>
    <row r="150" spans="1:6" s="73" customFormat="1" ht="12">
      <c r="A150" s="140" t="s">
        <v>401</v>
      </c>
      <c r="B150" s="141" t="s">
        <v>402</v>
      </c>
      <c r="C150" s="142">
        <f>+D150+E150+F150</f>
        <v>0</v>
      </c>
      <c r="D150" s="143">
        <v>0</v>
      </c>
      <c r="E150" s="144">
        <v>0</v>
      </c>
      <c r="F150" s="145">
        <v>0</v>
      </c>
    </row>
    <row r="151" spans="1:6" ht="12">
      <c r="A151" s="128" t="s">
        <v>97</v>
      </c>
      <c r="B151" s="109" t="s">
        <v>196</v>
      </c>
      <c r="C151" s="63">
        <f>+D151+E151+F151</f>
        <v>0</v>
      </c>
      <c r="D151" s="68">
        <v>0</v>
      </c>
      <c r="E151" s="38">
        <v>0</v>
      </c>
      <c r="F151" s="69">
        <v>0</v>
      </c>
    </row>
    <row r="152" spans="1:6" ht="12">
      <c r="A152" s="129" t="s">
        <v>98</v>
      </c>
      <c r="B152" s="111" t="s">
        <v>197</v>
      </c>
      <c r="C152" s="50">
        <f>+D152+E152+F152</f>
        <v>0</v>
      </c>
      <c r="D152" s="48">
        <v>0</v>
      </c>
      <c r="E152" s="39">
        <v>0</v>
      </c>
      <c r="F152" s="44">
        <v>0</v>
      </c>
    </row>
    <row r="153" spans="1:6" ht="12">
      <c r="A153" s="129" t="s">
        <v>99</v>
      </c>
      <c r="B153" s="111" t="s">
        <v>198</v>
      </c>
      <c r="C153" s="50">
        <f>+D153+E153+F153</f>
        <v>0</v>
      </c>
      <c r="D153" s="48">
        <v>0</v>
      </c>
      <c r="E153" s="39">
        <v>0</v>
      </c>
      <c r="F153" s="44">
        <v>0</v>
      </c>
    </row>
    <row r="154" spans="1:6" ht="12.75" thickBot="1">
      <c r="A154" s="122" t="s">
        <v>100</v>
      </c>
      <c r="B154" s="112" t="s">
        <v>199</v>
      </c>
      <c r="C154" s="53">
        <f>+D154+E154+F154</f>
        <v>0</v>
      </c>
      <c r="D154" s="54">
        <v>0</v>
      </c>
      <c r="E154" s="55">
        <v>0</v>
      </c>
      <c r="F154" s="56">
        <v>0</v>
      </c>
    </row>
    <row r="155" spans="1:6" s="29" customFormat="1" ht="12.75" thickBot="1">
      <c r="A155" s="127" t="s">
        <v>11</v>
      </c>
      <c r="B155" s="108" t="s">
        <v>360</v>
      </c>
      <c r="C155" s="71">
        <f>+C156+C157+C158+C159+C161+C162+C163+C164</f>
        <v>0</v>
      </c>
      <c r="D155" s="60">
        <f>+D156+D157+D158+D159+D161+D162+D163+D164</f>
        <v>0</v>
      </c>
      <c r="E155" s="61">
        <f>+E156+E157+E158+E159+E161+E162+E163+E164</f>
        <v>0</v>
      </c>
      <c r="F155" s="62">
        <f>+F156+F157+F158+F159+F161+F162+F163+F164</f>
        <v>0</v>
      </c>
    </row>
    <row r="156" spans="1:6" ht="12">
      <c r="A156" s="128" t="s">
        <v>309</v>
      </c>
      <c r="B156" s="109" t="s">
        <v>200</v>
      </c>
      <c r="C156" s="63">
        <f aca="true" t="shared" si="10" ref="C156:C164">+D156+E156+F156</f>
        <v>0</v>
      </c>
      <c r="D156" s="68">
        <v>0</v>
      </c>
      <c r="E156" s="38">
        <v>0</v>
      </c>
      <c r="F156" s="69">
        <v>0</v>
      </c>
    </row>
    <row r="157" spans="1:6" ht="12">
      <c r="A157" s="129" t="s">
        <v>310</v>
      </c>
      <c r="B157" s="111" t="s">
        <v>201</v>
      </c>
      <c r="C157" s="50">
        <f t="shared" si="10"/>
        <v>0</v>
      </c>
      <c r="D157" s="48">
        <v>0</v>
      </c>
      <c r="E157" s="39">
        <v>0</v>
      </c>
      <c r="F157" s="44">
        <v>0</v>
      </c>
    </row>
    <row r="158" spans="1:6" ht="12">
      <c r="A158" s="129" t="s">
        <v>311</v>
      </c>
      <c r="B158" s="111" t="s">
        <v>202</v>
      </c>
      <c r="C158" s="50">
        <f t="shared" si="10"/>
        <v>0</v>
      </c>
      <c r="D158" s="48">
        <v>0</v>
      </c>
      <c r="E158" s="39">
        <v>0</v>
      </c>
      <c r="F158" s="44">
        <v>0</v>
      </c>
    </row>
    <row r="159" spans="1:6" ht="12">
      <c r="A159" s="129" t="s">
        <v>312</v>
      </c>
      <c r="B159" s="111" t="s">
        <v>203</v>
      </c>
      <c r="C159" s="50">
        <f t="shared" si="10"/>
        <v>0</v>
      </c>
      <c r="D159" s="48">
        <v>0</v>
      </c>
      <c r="E159" s="39">
        <v>0</v>
      </c>
      <c r="F159" s="44">
        <v>0</v>
      </c>
    </row>
    <row r="160" spans="1:6" s="41" customFormat="1" ht="12">
      <c r="A160" s="133" t="s">
        <v>395</v>
      </c>
      <c r="B160" s="106" t="s">
        <v>396</v>
      </c>
      <c r="C160" s="85">
        <f t="shared" si="10"/>
        <v>0</v>
      </c>
      <c r="D160" s="83">
        <v>0</v>
      </c>
      <c r="E160" s="81">
        <v>0</v>
      </c>
      <c r="F160" s="82">
        <v>0</v>
      </c>
    </row>
    <row r="161" spans="1:6" ht="12">
      <c r="A161" s="129" t="s">
        <v>313</v>
      </c>
      <c r="B161" s="111" t="s">
        <v>204</v>
      </c>
      <c r="C161" s="50">
        <f t="shared" si="10"/>
        <v>0</v>
      </c>
      <c r="D161" s="48">
        <v>0</v>
      </c>
      <c r="E161" s="39">
        <v>0</v>
      </c>
      <c r="F161" s="44">
        <v>0</v>
      </c>
    </row>
    <row r="162" spans="1:6" ht="12">
      <c r="A162" s="129" t="s">
        <v>314</v>
      </c>
      <c r="B162" s="111" t="s">
        <v>205</v>
      </c>
      <c r="C162" s="50">
        <f t="shared" si="10"/>
        <v>0</v>
      </c>
      <c r="D162" s="48">
        <v>0</v>
      </c>
      <c r="E162" s="39">
        <v>0</v>
      </c>
      <c r="F162" s="44">
        <v>0</v>
      </c>
    </row>
    <row r="163" spans="1:6" ht="12">
      <c r="A163" s="129" t="s">
        <v>315</v>
      </c>
      <c r="B163" s="111" t="s">
        <v>206</v>
      </c>
      <c r="C163" s="50">
        <f t="shared" si="10"/>
        <v>0</v>
      </c>
      <c r="D163" s="48">
        <v>0</v>
      </c>
      <c r="E163" s="39">
        <v>0</v>
      </c>
      <c r="F163" s="44">
        <v>0</v>
      </c>
    </row>
    <row r="164" spans="1:6" ht="12.75" thickBot="1">
      <c r="A164" s="122" t="s">
        <v>316</v>
      </c>
      <c r="B164" s="112" t="s">
        <v>207</v>
      </c>
      <c r="C164" s="53">
        <f t="shared" si="10"/>
        <v>0</v>
      </c>
      <c r="D164" s="54">
        <v>0</v>
      </c>
      <c r="E164" s="55">
        <v>0</v>
      </c>
      <c r="F164" s="56">
        <v>0</v>
      </c>
    </row>
    <row r="165" spans="1:6" s="29" customFormat="1" ht="12.75" thickBot="1">
      <c r="A165" s="127" t="s">
        <v>10</v>
      </c>
      <c r="B165" s="113" t="s">
        <v>361</v>
      </c>
      <c r="C165" s="71">
        <f>+C100+C139</f>
        <v>63742</v>
      </c>
      <c r="D165" s="60">
        <f>+D100+D139</f>
        <v>63742</v>
      </c>
      <c r="E165" s="61">
        <f>+E100+E139</f>
        <v>0</v>
      </c>
      <c r="F165" s="62">
        <f>+F100+F139</f>
        <v>0</v>
      </c>
    </row>
    <row r="166" spans="1:6" s="29" customFormat="1" ht="12.75" thickBot="1">
      <c r="A166" s="127" t="s">
        <v>9</v>
      </c>
      <c r="B166" s="114" t="s">
        <v>362</v>
      </c>
      <c r="C166" s="71">
        <f>+C167</f>
        <v>0</v>
      </c>
      <c r="D166" s="60">
        <f>+D167</f>
        <v>0</v>
      </c>
      <c r="E166" s="61">
        <f>+E167</f>
        <v>0</v>
      </c>
      <c r="F166" s="62">
        <f>+F167</f>
        <v>0</v>
      </c>
    </row>
    <row r="167" spans="1:6" s="29" customFormat="1" ht="12.75" thickBot="1">
      <c r="A167" s="127" t="s">
        <v>73</v>
      </c>
      <c r="B167" s="108" t="s">
        <v>363</v>
      </c>
      <c r="C167" s="71">
        <f>+C168+C177+C178</f>
        <v>0</v>
      </c>
      <c r="D167" s="60">
        <f>+D168+D177+D178</f>
        <v>0</v>
      </c>
      <c r="E167" s="61">
        <f>+E168+E177+E178</f>
        <v>0</v>
      </c>
      <c r="F167" s="62">
        <f>+F168+F177+F178</f>
        <v>0</v>
      </c>
    </row>
    <row r="168" spans="1:6" ht="12">
      <c r="A168" s="128" t="s">
        <v>103</v>
      </c>
      <c r="B168" s="109" t="s">
        <v>447</v>
      </c>
      <c r="C168" s="63">
        <f>+C169+C170+C171+C172+C173+C174+C175+C176</f>
        <v>0</v>
      </c>
      <c r="D168" s="68">
        <f>+D169+D170+D171+D172+D173+D174+D175+D176</f>
        <v>0</v>
      </c>
      <c r="E168" s="38">
        <f>+E169+E170+E171+E172+E173+E174+E175+E176</f>
        <v>0</v>
      </c>
      <c r="F168" s="69">
        <f>+F169+F170+F171+F172+F173+F174+F175+F176</f>
        <v>0</v>
      </c>
    </row>
    <row r="169" spans="1:6" s="41" customFormat="1" ht="12">
      <c r="A169" s="130" t="s">
        <v>243</v>
      </c>
      <c r="B169" s="110" t="s">
        <v>208</v>
      </c>
      <c r="C169" s="51">
        <f aca="true" t="shared" si="11" ref="C169:C178">+D169+E169+F169</f>
        <v>0</v>
      </c>
      <c r="D169" s="47">
        <v>0</v>
      </c>
      <c r="E169" s="40">
        <v>0</v>
      </c>
      <c r="F169" s="43">
        <v>0</v>
      </c>
    </row>
    <row r="170" spans="1:6" s="41" customFormat="1" ht="12">
      <c r="A170" s="130" t="s">
        <v>244</v>
      </c>
      <c r="B170" s="110" t="s">
        <v>209</v>
      </c>
      <c r="C170" s="51">
        <f t="shared" si="11"/>
        <v>0</v>
      </c>
      <c r="D170" s="47">
        <v>0</v>
      </c>
      <c r="E170" s="40">
        <v>0</v>
      </c>
      <c r="F170" s="43">
        <v>0</v>
      </c>
    </row>
    <row r="171" spans="1:6" s="41" customFormat="1" ht="12">
      <c r="A171" s="130" t="s">
        <v>245</v>
      </c>
      <c r="B171" s="110" t="s">
        <v>210</v>
      </c>
      <c r="C171" s="51">
        <f t="shared" si="11"/>
        <v>0</v>
      </c>
      <c r="D171" s="47">
        <v>0</v>
      </c>
      <c r="E171" s="40">
        <v>0</v>
      </c>
      <c r="F171" s="43">
        <v>0</v>
      </c>
    </row>
    <row r="172" spans="1:6" s="41" customFormat="1" ht="12">
      <c r="A172" s="130" t="s">
        <v>246</v>
      </c>
      <c r="B172" s="110" t="s">
        <v>211</v>
      </c>
      <c r="C172" s="51">
        <f t="shared" si="11"/>
        <v>0</v>
      </c>
      <c r="D172" s="47">
        <v>0</v>
      </c>
      <c r="E172" s="40">
        <v>0</v>
      </c>
      <c r="F172" s="43">
        <v>0</v>
      </c>
    </row>
    <row r="173" spans="1:6" s="41" customFormat="1" ht="12">
      <c r="A173" s="130" t="s">
        <v>247</v>
      </c>
      <c r="B173" s="110" t="s">
        <v>212</v>
      </c>
      <c r="C173" s="51">
        <f t="shared" si="11"/>
        <v>0</v>
      </c>
      <c r="D173" s="1043">
        <v>0</v>
      </c>
      <c r="E173" s="1044">
        <v>0</v>
      </c>
      <c r="F173" s="1045">
        <v>0</v>
      </c>
    </row>
    <row r="174" spans="1:6" s="41" customFormat="1" ht="12">
      <c r="A174" s="130" t="s">
        <v>248</v>
      </c>
      <c r="B174" s="110" t="s">
        <v>217</v>
      </c>
      <c r="C174" s="51">
        <f t="shared" si="11"/>
        <v>0</v>
      </c>
      <c r="D174" s="1043">
        <v>0</v>
      </c>
      <c r="E174" s="1044">
        <v>0</v>
      </c>
      <c r="F174" s="1045">
        <v>0</v>
      </c>
    </row>
    <row r="175" spans="1:6" s="41" customFormat="1" ht="12">
      <c r="A175" s="130" t="s">
        <v>249</v>
      </c>
      <c r="B175" s="110" t="s">
        <v>213</v>
      </c>
      <c r="C175" s="51">
        <f t="shared" si="11"/>
        <v>0</v>
      </c>
      <c r="D175" s="1043">
        <v>0</v>
      </c>
      <c r="E175" s="1044">
        <v>0</v>
      </c>
      <c r="F175" s="1045">
        <v>0</v>
      </c>
    </row>
    <row r="176" spans="1:6" s="41" customFormat="1" ht="12">
      <c r="A176" s="130" t="s">
        <v>250</v>
      </c>
      <c r="B176" s="110" t="s">
        <v>214</v>
      </c>
      <c r="C176" s="51">
        <f t="shared" si="11"/>
        <v>0</v>
      </c>
      <c r="D176" s="1043">
        <v>0</v>
      </c>
      <c r="E176" s="1044">
        <v>0</v>
      </c>
      <c r="F176" s="1045">
        <v>0</v>
      </c>
    </row>
    <row r="177" spans="1:6" ht="12">
      <c r="A177" s="129" t="s">
        <v>104</v>
      </c>
      <c r="B177" s="111" t="s">
        <v>215</v>
      </c>
      <c r="C177" s="50">
        <f t="shared" si="11"/>
        <v>0</v>
      </c>
      <c r="D177" s="1046">
        <v>0</v>
      </c>
      <c r="E177" s="1047">
        <v>0</v>
      </c>
      <c r="F177" s="1048">
        <v>0</v>
      </c>
    </row>
    <row r="178" spans="1:6" ht="12.75" thickBot="1">
      <c r="A178" s="122" t="s">
        <v>105</v>
      </c>
      <c r="B178" s="112" t="s">
        <v>216</v>
      </c>
      <c r="C178" s="53">
        <f t="shared" si="11"/>
        <v>0</v>
      </c>
      <c r="D178" s="1049">
        <v>0</v>
      </c>
      <c r="E178" s="1050">
        <v>0</v>
      </c>
      <c r="F178" s="1051">
        <v>0</v>
      </c>
    </row>
    <row r="179" spans="1:6" s="29" customFormat="1" ht="12.75" thickBot="1">
      <c r="A179" s="127" t="s">
        <v>72</v>
      </c>
      <c r="B179" s="113" t="s">
        <v>364</v>
      </c>
      <c r="C179" s="71">
        <f>+C180</f>
        <v>0</v>
      </c>
      <c r="D179" s="163">
        <f>+D180</f>
        <v>0</v>
      </c>
      <c r="E179" s="164">
        <f>+E180</f>
        <v>0</v>
      </c>
      <c r="F179" s="165">
        <f>+F180</f>
        <v>0</v>
      </c>
    </row>
    <row r="180" spans="1:6" s="29" customFormat="1" ht="12.75" thickBot="1">
      <c r="A180" s="127" t="s">
        <v>71</v>
      </c>
      <c r="B180" s="108" t="s">
        <v>365</v>
      </c>
      <c r="C180" s="71">
        <f>+C181+C190+C191</f>
        <v>0</v>
      </c>
      <c r="D180" s="163">
        <f>+D181+D190+D191</f>
        <v>0</v>
      </c>
      <c r="E180" s="164">
        <f>+E181+E190+E191</f>
        <v>0</v>
      </c>
      <c r="F180" s="165">
        <f>+F181+F190+F191</f>
        <v>0</v>
      </c>
    </row>
    <row r="181" spans="1:6" ht="12">
      <c r="A181" s="128" t="s">
        <v>106</v>
      </c>
      <c r="B181" s="109" t="s">
        <v>366</v>
      </c>
      <c r="C181" s="63">
        <f>+C182+C183+C184+C185+C186+C187+C188+C189</f>
        <v>0</v>
      </c>
      <c r="D181" s="172">
        <f>+D182+D183+D184+D185+D186+D187+D188+D189</f>
        <v>0</v>
      </c>
      <c r="E181" s="173">
        <f>+E182+E183+E184+E185+E186+E187+E188+E189</f>
        <v>0</v>
      </c>
      <c r="F181" s="174">
        <f>+F182+F183+F184+F185+F186+F187+F188+F189</f>
        <v>0</v>
      </c>
    </row>
    <row r="182" spans="1:6" s="41" customFormat="1" ht="12">
      <c r="A182" s="130" t="s">
        <v>251</v>
      </c>
      <c r="B182" s="110" t="s">
        <v>208</v>
      </c>
      <c r="C182" s="51">
        <f aca="true" t="shared" si="12" ref="C182:C191">+D182+E182+F182</f>
        <v>0</v>
      </c>
      <c r="D182" s="1043">
        <v>0</v>
      </c>
      <c r="E182" s="1044">
        <v>0</v>
      </c>
      <c r="F182" s="1045">
        <v>0</v>
      </c>
    </row>
    <row r="183" spans="1:6" s="41" customFormat="1" ht="12">
      <c r="A183" s="130" t="s">
        <v>252</v>
      </c>
      <c r="B183" s="110" t="s">
        <v>209</v>
      </c>
      <c r="C183" s="51">
        <f t="shared" si="12"/>
        <v>0</v>
      </c>
      <c r="D183" s="1043">
        <v>0</v>
      </c>
      <c r="E183" s="1044">
        <v>0</v>
      </c>
      <c r="F183" s="1045">
        <v>0</v>
      </c>
    </row>
    <row r="184" spans="1:6" s="41" customFormat="1" ht="12">
      <c r="A184" s="130" t="s">
        <v>253</v>
      </c>
      <c r="B184" s="110" t="s">
        <v>210</v>
      </c>
      <c r="C184" s="51">
        <f t="shared" si="12"/>
        <v>0</v>
      </c>
      <c r="D184" s="1043">
        <v>0</v>
      </c>
      <c r="E184" s="1044">
        <v>0</v>
      </c>
      <c r="F184" s="1045">
        <v>0</v>
      </c>
    </row>
    <row r="185" spans="1:6" s="41" customFormat="1" ht="12">
      <c r="A185" s="130" t="s">
        <v>254</v>
      </c>
      <c r="B185" s="110" t="s">
        <v>211</v>
      </c>
      <c r="C185" s="51">
        <f t="shared" si="12"/>
        <v>0</v>
      </c>
      <c r="D185" s="1043">
        <v>0</v>
      </c>
      <c r="E185" s="1044">
        <v>0</v>
      </c>
      <c r="F185" s="1045">
        <v>0</v>
      </c>
    </row>
    <row r="186" spans="1:6" s="41" customFormat="1" ht="12">
      <c r="A186" s="130" t="s">
        <v>255</v>
      </c>
      <c r="B186" s="110" t="s">
        <v>212</v>
      </c>
      <c r="C186" s="51">
        <f t="shared" si="12"/>
        <v>0</v>
      </c>
      <c r="D186" s="1043">
        <v>0</v>
      </c>
      <c r="E186" s="1044">
        <v>0</v>
      </c>
      <c r="F186" s="1045">
        <v>0</v>
      </c>
    </row>
    <row r="187" spans="1:6" s="41" customFormat="1" ht="12">
      <c r="A187" s="130" t="s">
        <v>256</v>
      </c>
      <c r="B187" s="110" t="s">
        <v>217</v>
      </c>
      <c r="C187" s="51">
        <f t="shared" si="12"/>
        <v>0</v>
      </c>
      <c r="D187" s="1043">
        <v>0</v>
      </c>
      <c r="E187" s="1044">
        <v>0</v>
      </c>
      <c r="F187" s="1045">
        <v>0</v>
      </c>
    </row>
    <row r="188" spans="1:6" s="41" customFormat="1" ht="12">
      <c r="A188" s="130" t="s">
        <v>257</v>
      </c>
      <c r="B188" s="110" t="s">
        <v>213</v>
      </c>
      <c r="C188" s="51">
        <f t="shared" si="12"/>
        <v>0</v>
      </c>
      <c r="D188" s="47">
        <v>0</v>
      </c>
      <c r="E188" s="40">
        <v>0</v>
      </c>
      <c r="F188" s="43">
        <v>0</v>
      </c>
    </row>
    <row r="189" spans="1:6" s="41" customFormat="1" ht="12">
      <c r="A189" s="130" t="s">
        <v>258</v>
      </c>
      <c r="B189" s="110" t="s">
        <v>214</v>
      </c>
      <c r="C189" s="51">
        <f t="shared" si="12"/>
        <v>0</v>
      </c>
      <c r="D189" s="47">
        <v>0</v>
      </c>
      <c r="E189" s="40">
        <v>0</v>
      </c>
      <c r="F189" s="43">
        <v>0</v>
      </c>
    </row>
    <row r="190" spans="1:6" ht="12">
      <c r="A190" s="129" t="s">
        <v>107</v>
      </c>
      <c r="B190" s="111" t="s">
        <v>215</v>
      </c>
      <c r="C190" s="50">
        <f t="shared" si="12"/>
        <v>0</v>
      </c>
      <c r="D190" s="48">
        <v>0</v>
      </c>
      <c r="E190" s="39">
        <v>0</v>
      </c>
      <c r="F190" s="44">
        <v>0</v>
      </c>
    </row>
    <row r="191" spans="1:6" ht="12.75" thickBot="1">
      <c r="A191" s="122" t="s">
        <v>259</v>
      </c>
      <c r="B191" s="112" t="s">
        <v>216</v>
      </c>
      <c r="C191" s="53">
        <f t="shared" si="12"/>
        <v>0</v>
      </c>
      <c r="D191" s="54">
        <v>0</v>
      </c>
      <c r="E191" s="55">
        <v>0</v>
      </c>
      <c r="F191" s="56">
        <v>0</v>
      </c>
    </row>
    <row r="192" spans="1:6" s="29" customFormat="1" ht="12.75" thickBot="1">
      <c r="A192" s="127" t="s">
        <v>68</v>
      </c>
      <c r="B192" s="113" t="s">
        <v>367</v>
      </c>
      <c r="C192" s="71">
        <f>+C166+C179</f>
        <v>0</v>
      </c>
      <c r="D192" s="60">
        <f>+D166+D179</f>
        <v>0</v>
      </c>
      <c r="E192" s="61">
        <f>+E166+E179</f>
        <v>0</v>
      </c>
      <c r="F192" s="62">
        <f>+F166+F179</f>
        <v>0</v>
      </c>
    </row>
    <row r="193" spans="1:6" s="29" customFormat="1" ht="12.75" thickBot="1">
      <c r="A193" s="131" t="s">
        <v>67</v>
      </c>
      <c r="B193" s="115" t="s">
        <v>391</v>
      </c>
      <c r="C193" s="72">
        <f>+C165+C192</f>
        <v>63742</v>
      </c>
      <c r="D193" s="57">
        <f>+D165+D192</f>
        <v>63742</v>
      </c>
      <c r="E193" s="58">
        <f>+E165+E192</f>
        <v>0</v>
      </c>
      <c r="F193" s="59">
        <f>+F165+F192</f>
        <v>0</v>
      </c>
    </row>
    <row r="196" spans="1:30" s="24" customFormat="1" ht="15.75">
      <c r="A196" s="1299" t="s">
        <v>117</v>
      </c>
      <c r="B196" s="1299"/>
      <c r="C196" s="1299"/>
      <c r="D196" s="1299"/>
      <c r="E196" s="1299"/>
      <c r="F196" s="1299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</row>
    <row r="197" spans="1:6" s="73" customFormat="1" ht="12.75" thickBot="1">
      <c r="A197" s="75" t="s">
        <v>320</v>
      </c>
      <c r="F197" s="74" t="s">
        <v>319</v>
      </c>
    </row>
    <row r="198" spans="1:6" s="29" customFormat="1" ht="12.75" thickBot="1">
      <c r="A198" s="127" t="s">
        <v>4</v>
      </c>
      <c r="B198" s="113" t="s">
        <v>368</v>
      </c>
      <c r="C198" s="71">
        <f>+C199+C200</f>
        <v>-60042</v>
      </c>
      <c r="D198" s="60">
        <f>+D199+D200</f>
        <v>-60042</v>
      </c>
      <c r="E198" s="61">
        <f>+E199+E200</f>
        <v>0</v>
      </c>
      <c r="F198" s="62">
        <f>+F199+F200</f>
        <v>0</v>
      </c>
    </row>
    <row r="199" spans="1:6" ht="12">
      <c r="A199" s="128" t="s">
        <v>109</v>
      </c>
      <c r="B199" s="116" t="s">
        <v>369</v>
      </c>
      <c r="C199" s="63">
        <f>+C10-C100</f>
        <v>-60042</v>
      </c>
      <c r="D199" s="68">
        <f>+D10-D100</f>
        <v>-60042</v>
      </c>
      <c r="E199" s="38">
        <f>+E10-E100</f>
        <v>0</v>
      </c>
      <c r="F199" s="69">
        <f>+F10-F100</f>
        <v>0</v>
      </c>
    </row>
    <row r="200" spans="1:6" ht="12.75" thickBot="1">
      <c r="A200" s="132" t="s">
        <v>110</v>
      </c>
      <c r="B200" s="117" t="s">
        <v>370</v>
      </c>
      <c r="C200" s="52">
        <f>+C47-C139</f>
        <v>0</v>
      </c>
      <c r="D200" s="78">
        <f>+D47-D139</f>
        <v>0</v>
      </c>
      <c r="E200" s="45">
        <f>+E47-E139</f>
        <v>0</v>
      </c>
      <c r="F200" s="77">
        <f>+F47-F139</f>
        <v>0</v>
      </c>
    </row>
    <row r="203" spans="1:30" s="24" customFormat="1" ht="15.75">
      <c r="A203" s="1299" t="s">
        <v>118</v>
      </c>
      <c r="B203" s="1299"/>
      <c r="C203" s="1299"/>
      <c r="D203" s="1299"/>
      <c r="E203" s="1299"/>
      <c r="F203" s="1299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</row>
    <row r="204" spans="1:6" s="73" customFormat="1" ht="12.75" thickBot="1">
      <c r="A204" s="75" t="s">
        <v>321</v>
      </c>
      <c r="F204" s="74" t="s">
        <v>319</v>
      </c>
    </row>
    <row r="205" spans="1:6" s="29" customFormat="1" ht="12.75" thickBot="1">
      <c r="A205" s="127" t="s">
        <v>4</v>
      </c>
      <c r="B205" s="113" t="s">
        <v>371</v>
      </c>
      <c r="C205" s="71">
        <f>+C206+C213</f>
        <v>60042</v>
      </c>
      <c r="D205" s="60">
        <f>+D206+D213</f>
        <v>60042</v>
      </c>
      <c r="E205" s="61">
        <f>+E206+E213</f>
        <v>0</v>
      </c>
      <c r="F205" s="62">
        <f>+F206+F213</f>
        <v>0</v>
      </c>
    </row>
    <row r="206" spans="1:6" s="29" customFormat="1" ht="12.75" thickBot="1">
      <c r="A206" s="127" t="s">
        <v>5</v>
      </c>
      <c r="B206" s="108" t="s">
        <v>372</v>
      </c>
      <c r="C206" s="71">
        <f>+C207-C210</f>
        <v>60042</v>
      </c>
      <c r="D206" s="60">
        <f>+D207-D210</f>
        <v>60042</v>
      </c>
      <c r="E206" s="61">
        <f>+E207-E210</f>
        <v>0</v>
      </c>
      <c r="F206" s="62">
        <f>+F207-F210</f>
        <v>0</v>
      </c>
    </row>
    <row r="207" spans="1:6" ht="12">
      <c r="A207" s="128" t="s">
        <v>82</v>
      </c>
      <c r="B207" s="109" t="s">
        <v>373</v>
      </c>
      <c r="C207" s="63">
        <f>+C208+C209</f>
        <v>60042</v>
      </c>
      <c r="D207" s="68">
        <f>+D208+D209</f>
        <v>60042</v>
      </c>
      <c r="E207" s="38">
        <f>+E208+E209</f>
        <v>0</v>
      </c>
      <c r="F207" s="69">
        <f>+F208+F209</f>
        <v>0</v>
      </c>
    </row>
    <row r="208" spans="1:6" s="41" customFormat="1" ht="12">
      <c r="A208" s="130" t="s">
        <v>228</v>
      </c>
      <c r="B208" s="110" t="s">
        <v>323</v>
      </c>
      <c r="C208" s="51">
        <f>+C71+C75</f>
        <v>0</v>
      </c>
      <c r="D208" s="47">
        <f>+D71+D75</f>
        <v>0</v>
      </c>
      <c r="E208" s="40">
        <f>+E71+E75</f>
        <v>0</v>
      </c>
      <c r="F208" s="43">
        <f>+F71+F75</f>
        <v>0</v>
      </c>
    </row>
    <row r="209" spans="1:6" s="41" customFormat="1" ht="12">
      <c r="A209" s="130" t="s">
        <v>229</v>
      </c>
      <c r="B209" s="110" t="s">
        <v>324</v>
      </c>
      <c r="C209" s="51">
        <f>+C69+C70+C72+C73+C74+C76</f>
        <v>60042</v>
      </c>
      <c r="D209" s="47">
        <f>+D69+D70+D72+D73+D74+D76</f>
        <v>60042</v>
      </c>
      <c r="E209" s="40">
        <f>+E69+E70+E72+E73+E74+E76</f>
        <v>0</v>
      </c>
      <c r="F209" s="43">
        <f>+F69+F70+F72+F73+F74+F76</f>
        <v>0</v>
      </c>
    </row>
    <row r="210" spans="1:6" ht="12">
      <c r="A210" s="129" t="s">
        <v>83</v>
      </c>
      <c r="B210" s="111" t="s">
        <v>374</v>
      </c>
      <c r="C210" s="50">
        <f>+C212</f>
        <v>0</v>
      </c>
      <c r="D210" s="48">
        <f>+D212</f>
        <v>0</v>
      </c>
      <c r="E210" s="39">
        <f>+E212</f>
        <v>0</v>
      </c>
      <c r="F210" s="44">
        <f>+F212</f>
        <v>0</v>
      </c>
    </row>
    <row r="211" spans="1:6" s="41" customFormat="1" ht="12">
      <c r="A211" s="130" t="s">
        <v>84</v>
      </c>
      <c r="B211" s="110" t="s">
        <v>325</v>
      </c>
      <c r="C211" s="51">
        <f>+C174</f>
        <v>0</v>
      </c>
      <c r="D211" s="47">
        <f>+D174</f>
        <v>0</v>
      </c>
      <c r="E211" s="40">
        <f>+E174</f>
        <v>0</v>
      </c>
      <c r="F211" s="43">
        <f>+F174</f>
        <v>0</v>
      </c>
    </row>
    <row r="212" spans="1:6" s="41" customFormat="1" ht="12.75" thickBot="1">
      <c r="A212" s="133" t="s">
        <v>85</v>
      </c>
      <c r="B212" s="118" t="s">
        <v>326</v>
      </c>
      <c r="C212" s="85">
        <f>+C169+C170+C171+C172+C173+C175+C176</f>
        <v>0</v>
      </c>
      <c r="D212" s="83">
        <f>+D169+D170+D171+D172+D173+D175+D176</f>
        <v>0</v>
      </c>
      <c r="E212" s="81">
        <f>+E169+E170+E171+E172+E173+E175+E176</f>
        <v>0</v>
      </c>
      <c r="F212" s="82">
        <f>+F169+F170+F171+F172+F173+F175+F176</f>
        <v>0</v>
      </c>
    </row>
    <row r="213" spans="1:6" s="29" customFormat="1" ht="12.75" thickBot="1">
      <c r="A213" s="127" t="s">
        <v>6</v>
      </c>
      <c r="B213" s="108" t="s">
        <v>375</v>
      </c>
      <c r="C213" s="71">
        <f>+C214-C217</f>
        <v>0</v>
      </c>
      <c r="D213" s="60">
        <f>+D214-D217</f>
        <v>0</v>
      </c>
      <c r="E213" s="61">
        <f>+E214-E217</f>
        <v>0</v>
      </c>
      <c r="F213" s="62">
        <f>+F214-F217</f>
        <v>0</v>
      </c>
    </row>
    <row r="214" spans="1:6" ht="12">
      <c r="A214" s="128" t="s">
        <v>86</v>
      </c>
      <c r="B214" s="109" t="s">
        <v>376</v>
      </c>
      <c r="C214" s="63">
        <f>+C215+C216</f>
        <v>0</v>
      </c>
      <c r="D214" s="68">
        <f>+D215+D216</f>
        <v>0</v>
      </c>
      <c r="E214" s="38">
        <f>+E215+E216</f>
        <v>0</v>
      </c>
      <c r="F214" s="69">
        <f>+F215+F216</f>
        <v>0</v>
      </c>
    </row>
    <row r="215" spans="1:6" s="41" customFormat="1" ht="12">
      <c r="A215" s="130" t="s">
        <v>331</v>
      </c>
      <c r="B215" s="110" t="s">
        <v>329</v>
      </c>
      <c r="C215" s="51">
        <f>+C84+C88</f>
        <v>0</v>
      </c>
      <c r="D215" s="47">
        <f>+D84+D88</f>
        <v>0</v>
      </c>
      <c r="E215" s="40">
        <f>+E84+E88</f>
        <v>0</v>
      </c>
      <c r="F215" s="43">
        <f>+F84+F88</f>
        <v>0</v>
      </c>
    </row>
    <row r="216" spans="1:6" s="41" customFormat="1" ht="12">
      <c r="A216" s="130" t="s">
        <v>332</v>
      </c>
      <c r="B216" s="110" t="s">
        <v>330</v>
      </c>
      <c r="C216" s="51">
        <f>+C82+C83+C85+C86+C87+C89</f>
        <v>0</v>
      </c>
      <c r="D216" s="47">
        <f>+D82+D83+D85+D86+D87+D89</f>
        <v>0</v>
      </c>
      <c r="E216" s="40">
        <f>+E82+E83+E85+E86+E87+E89</f>
        <v>0</v>
      </c>
      <c r="F216" s="43">
        <f>+F82+F83+F85+F86+F87+F89</f>
        <v>0</v>
      </c>
    </row>
    <row r="217" spans="1:6" ht="12">
      <c r="A217" s="129" t="s">
        <v>87</v>
      </c>
      <c r="B217" s="111" t="s">
        <v>377</v>
      </c>
      <c r="C217" s="50">
        <f>+C218+C219</f>
        <v>0</v>
      </c>
      <c r="D217" s="48">
        <f>+D218+D219</f>
        <v>0</v>
      </c>
      <c r="E217" s="39">
        <f>+E218+E219</f>
        <v>0</v>
      </c>
      <c r="F217" s="44">
        <f>+F218+F219</f>
        <v>0</v>
      </c>
    </row>
    <row r="218" spans="1:6" s="41" customFormat="1" ht="12">
      <c r="A218" s="130" t="s">
        <v>333</v>
      </c>
      <c r="B218" s="110" t="s">
        <v>327</v>
      </c>
      <c r="C218" s="51">
        <f>+C187</f>
        <v>0</v>
      </c>
      <c r="D218" s="47">
        <f>+D187</f>
        <v>0</v>
      </c>
      <c r="E218" s="40">
        <f>+E187</f>
        <v>0</v>
      </c>
      <c r="F218" s="43">
        <f>+F187</f>
        <v>0</v>
      </c>
    </row>
    <row r="219" spans="1:6" s="41" customFormat="1" ht="12.75" thickBot="1">
      <c r="A219" s="134" t="s">
        <v>334</v>
      </c>
      <c r="B219" s="119" t="s">
        <v>328</v>
      </c>
      <c r="C219" s="86">
        <f>+C182+C183+C184+C185+C186+C188+C189</f>
        <v>0</v>
      </c>
      <c r="D219" s="84">
        <f>+D182+D183+D184+D185+D186+D188+D189</f>
        <v>0</v>
      </c>
      <c r="E219" s="79">
        <f>+E182+E183+E184+E185+E186+E188+E189</f>
        <v>0</v>
      </c>
      <c r="F219" s="80">
        <f>+F182+F183+F184+F185+F186+F188+F189</f>
        <v>0</v>
      </c>
    </row>
    <row r="222" spans="1:30" s="24" customFormat="1" ht="15.75">
      <c r="A222" s="1299" t="s">
        <v>383</v>
      </c>
      <c r="B222" s="1299"/>
      <c r="C222" s="1299"/>
      <c r="D222" s="1299"/>
      <c r="E222" s="1299"/>
      <c r="F222" s="1299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</row>
    <row r="223" spans="1:6" s="73" customFormat="1" ht="12.75" thickBot="1">
      <c r="A223" s="75" t="s">
        <v>322</v>
      </c>
      <c r="F223" s="74"/>
    </row>
    <row r="224" spans="1:6" s="29" customFormat="1" ht="12">
      <c r="A224" s="135" t="s">
        <v>4</v>
      </c>
      <c r="B224" s="120" t="s">
        <v>119</v>
      </c>
      <c r="C224" s="94">
        <f>+D224+E224+F224</f>
        <v>9</v>
      </c>
      <c r="D224" s="95">
        <v>9</v>
      </c>
      <c r="E224" s="96">
        <v>0</v>
      </c>
      <c r="F224" s="97">
        <v>0</v>
      </c>
    </row>
    <row r="225" spans="1:6" s="41" customFormat="1" ht="12">
      <c r="A225" s="133" t="s">
        <v>408</v>
      </c>
      <c r="B225" s="146" t="s">
        <v>409</v>
      </c>
      <c r="C225" s="147">
        <f>+D225+E225+F225</f>
        <v>0</v>
      </c>
      <c r="D225" s="148">
        <v>0</v>
      </c>
      <c r="E225" s="149">
        <v>0</v>
      </c>
      <c r="F225" s="150">
        <v>0</v>
      </c>
    </row>
    <row r="226" spans="1:6" s="29" customFormat="1" ht="12.75" thickBot="1">
      <c r="A226" s="136" t="s">
        <v>5</v>
      </c>
      <c r="B226" s="121" t="s">
        <v>120</v>
      </c>
      <c r="C226" s="98">
        <f>+D226+E226+F226</f>
        <v>0</v>
      </c>
      <c r="D226" s="99">
        <v>0</v>
      </c>
      <c r="E226" s="100">
        <v>0</v>
      </c>
      <c r="F226" s="101">
        <v>0</v>
      </c>
    </row>
    <row r="227" spans="1:6" s="29" customFormat="1" ht="12.75" thickBot="1">
      <c r="A227" s="127" t="s">
        <v>6</v>
      </c>
      <c r="B227" s="113" t="s">
        <v>380</v>
      </c>
      <c r="C227" s="102">
        <f>+C224+C226</f>
        <v>9</v>
      </c>
      <c r="D227" s="103">
        <f>+D224+D226</f>
        <v>9</v>
      </c>
      <c r="E227" s="104">
        <f>+E224+E226</f>
        <v>0</v>
      </c>
      <c r="F227" s="105">
        <f>+F224+F226</f>
        <v>0</v>
      </c>
    </row>
  </sheetData>
  <sheetProtection/>
  <mergeCells count="9">
    <mergeCell ref="A196:F196"/>
    <mergeCell ref="A203:F203"/>
    <mergeCell ref="A222:F222"/>
    <mergeCell ref="A3:F3"/>
    <mergeCell ref="A4:F4"/>
    <mergeCell ref="A6:F6"/>
    <mergeCell ref="C9:F9"/>
    <mergeCell ref="A96:F96"/>
    <mergeCell ref="C99:F99"/>
  </mergeCells>
  <printOptions/>
  <pageMargins left="0" right="0.7086614173228347" top="0.7480314960629921" bottom="0.7480314960629921" header="0.31496062992125984" footer="0.31496062992125984"/>
  <pageSetup horizontalDpi="600" verticalDpi="600" orientation="portrait" paperSize="9" scale="45" r:id="rId1"/>
  <headerFooter>
    <oddHeader>&amp;C 1.4. melléklet - &amp;P. oldal</oddHeader>
  </headerFooter>
  <rowBreaks count="1" manualBreakCount="1">
    <brk id="95" max="5" man="1"/>
  </rowBreaks>
  <colBreaks count="1" manualBreakCount="1">
    <brk id="6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K33"/>
  <sheetViews>
    <sheetView zoomScale="80" zoomScaleNormal="80" zoomScalePageLayoutView="0" workbookViewId="0" topLeftCell="A1">
      <selection activeCell="K1" sqref="K1"/>
    </sheetView>
  </sheetViews>
  <sheetFormatPr defaultColWidth="9.00390625" defaultRowHeight="12.75"/>
  <cols>
    <col min="1" max="1" width="6.625" style="30" customWidth="1"/>
    <col min="2" max="2" width="70.375" style="30" customWidth="1"/>
    <col min="3" max="6" width="9.125" style="30" customWidth="1"/>
    <col min="7" max="7" width="60.00390625" style="30" customWidth="1"/>
    <col min="8" max="16384" width="9.125" style="30" customWidth="1"/>
  </cols>
  <sheetData>
    <row r="1" s="90" customFormat="1" ht="15.75">
      <c r="K1" s="91" t="s">
        <v>1409</v>
      </c>
    </row>
    <row r="2" s="90" customFormat="1" ht="15.75"/>
    <row r="3" spans="1:11" s="92" customFormat="1" ht="15.75">
      <c r="A3" s="1298" t="s">
        <v>382</v>
      </c>
      <c r="B3" s="1298"/>
      <c r="C3" s="1298"/>
      <c r="D3" s="1298"/>
      <c r="E3" s="1298"/>
      <c r="F3" s="1298"/>
      <c r="G3" s="1298"/>
      <c r="H3" s="1298"/>
      <c r="I3" s="1298"/>
      <c r="J3" s="1298"/>
      <c r="K3" s="1298"/>
    </row>
    <row r="4" spans="1:11" s="92" customFormat="1" ht="15.75">
      <c r="A4" s="1298" t="s">
        <v>453</v>
      </c>
      <c r="B4" s="1298"/>
      <c r="C4" s="1298"/>
      <c r="D4" s="1298"/>
      <c r="E4" s="1298"/>
      <c r="F4" s="1298"/>
      <c r="G4" s="1298"/>
      <c r="H4" s="1298"/>
      <c r="I4" s="1298"/>
      <c r="J4" s="1298"/>
      <c r="K4" s="1298"/>
    </row>
    <row r="5" spans="1:11" s="73" customFormat="1" ht="12.75" thickBot="1">
      <c r="A5" s="75"/>
      <c r="K5" s="74" t="s">
        <v>319</v>
      </c>
    </row>
    <row r="6" spans="1:11" s="35" customFormat="1" ht="54" customHeight="1" thickBot="1">
      <c r="A6" s="123" t="s">
        <v>17</v>
      </c>
      <c r="B6" s="137" t="s">
        <v>378</v>
      </c>
      <c r="C6" s="195" t="s">
        <v>419</v>
      </c>
      <c r="D6" s="194" t="s">
        <v>79</v>
      </c>
      <c r="E6" s="193" t="s">
        <v>80</v>
      </c>
      <c r="F6" s="192" t="s">
        <v>81</v>
      </c>
      <c r="G6" s="124" t="s">
        <v>379</v>
      </c>
      <c r="H6" s="123" t="s">
        <v>419</v>
      </c>
      <c r="I6" s="194" t="s">
        <v>79</v>
      </c>
      <c r="J6" s="193" t="s">
        <v>80</v>
      </c>
      <c r="K6" s="192" t="s">
        <v>81</v>
      </c>
    </row>
    <row r="7" spans="1:11" s="29" customFormat="1" ht="12.75" thickBot="1">
      <c r="A7" s="127" t="s">
        <v>291</v>
      </c>
      <c r="B7" s="138" t="s">
        <v>292</v>
      </c>
      <c r="C7" s="1306" t="s">
        <v>293</v>
      </c>
      <c r="D7" s="1307"/>
      <c r="E7" s="1307"/>
      <c r="F7" s="1308"/>
      <c r="G7" s="126" t="s">
        <v>421</v>
      </c>
      <c r="H7" s="1309" t="s">
        <v>422</v>
      </c>
      <c r="I7" s="1310"/>
      <c r="J7" s="1310"/>
      <c r="K7" s="1311"/>
    </row>
    <row r="8" spans="1:11" s="29" customFormat="1" ht="12.75" thickBot="1">
      <c r="A8" s="139" t="s">
        <v>4</v>
      </c>
      <c r="B8" s="107" t="s">
        <v>431</v>
      </c>
      <c r="C8" s="70">
        <f>+C9+C11+C13+C15</f>
        <v>1570511</v>
      </c>
      <c r="D8" s="65">
        <f>+D9+D11+D13+D15</f>
        <v>1539147</v>
      </c>
      <c r="E8" s="66">
        <f>+E9+E11+E13+E15</f>
        <v>31364</v>
      </c>
      <c r="F8" s="67">
        <f>+F9+F11+F13+F15</f>
        <v>0</v>
      </c>
      <c r="G8" s="113" t="s">
        <v>432</v>
      </c>
      <c r="H8" s="71">
        <f>+H9+H11+H13+H15+H16</f>
        <v>1575124</v>
      </c>
      <c r="I8" s="60">
        <f>+I9+I11+I13+I15+I16</f>
        <v>1539160</v>
      </c>
      <c r="J8" s="61">
        <f>+J9+J11+J13+J15+J16</f>
        <v>35964</v>
      </c>
      <c r="K8" s="62">
        <f>+K9+K11+K13+K15+K16</f>
        <v>0</v>
      </c>
    </row>
    <row r="9" spans="1:11" ht="12.75" customHeight="1">
      <c r="A9" s="188" t="s">
        <v>5</v>
      </c>
      <c r="B9" s="183" t="s">
        <v>434</v>
      </c>
      <c r="C9" s="49">
        <f>+D9+E9+F9</f>
        <v>1126437</v>
      </c>
      <c r="D9" s="89">
        <f>+'1.mell._Össz_Mérleg2014'!D11</f>
        <v>1124637</v>
      </c>
      <c r="E9" s="87">
        <f>+'1.mell._Össz_Mérleg2014'!E11</f>
        <v>1800</v>
      </c>
      <c r="F9" s="88">
        <f>+'1.mell._Össz_Mérleg2014'!F11</f>
        <v>0</v>
      </c>
      <c r="G9" s="189" t="s">
        <v>441</v>
      </c>
      <c r="H9" s="49">
        <f>+I9+J9+K9</f>
        <v>523384</v>
      </c>
      <c r="I9" s="89">
        <f>+'1.mell._Össz_Mérleg2014'!D101</f>
        <v>518480</v>
      </c>
      <c r="J9" s="87">
        <f>+'1.mell._Össz_Mérleg2014'!E101</f>
        <v>4904</v>
      </c>
      <c r="K9" s="88">
        <f>+'1.mell._Össz_Mérleg2014'!F101</f>
        <v>0</v>
      </c>
    </row>
    <row r="10" spans="1:11" s="41" customFormat="1" ht="24">
      <c r="A10" s="130" t="s">
        <v>406</v>
      </c>
      <c r="B10" s="201" t="s">
        <v>385</v>
      </c>
      <c r="C10" s="51">
        <f aca="true" t="shared" si="0" ref="C10:C17">+D10+E10+F10</f>
        <v>0</v>
      </c>
      <c r="D10" s="47">
        <f>+'1.mell._Össz_Mérleg2014'!D24</f>
        <v>0</v>
      </c>
      <c r="E10" s="40">
        <f>+'1.mell._Össz_Mérleg2014'!E24</f>
        <v>0</v>
      </c>
      <c r="F10" s="43">
        <f>+'1.mell._Össz_Mérleg2014'!F24</f>
        <v>0</v>
      </c>
      <c r="G10" s="203" t="s">
        <v>407</v>
      </c>
      <c r="H10" s="51">
        <f aca="true" t="shared" si="1" ref="H10:H17">+I10+J10+K10</f>
        <v>0</v>
      </c>
      <c r="I10" s="47">
        <f>+'1.mell._Össz_Mérleg2014'!D102</f>
        <v>0</v>
      </c>
      <c r="J10" s="40">
        <f>+'1.mell._Össz_Mérleg2014'!E102</f>
        <v>0</v>
      </c>
      <c r="K10" s="43">
        <f>+'1.mell._Össz_Mérleg2014'!F102</f>
        <v>0</v>
      </c>
    </row>
    <row r="11" spans="1:11" ht="12.75" customHeight="1">
      <c r="A11" s="129" t="s">
        <v>6</v>
      </c>
      <c r="B11" s="190" t="s">
        <v>435</v>
      </c>
      <c r="C11" s="50">
        <f t="shared" si="0"/>
        <v>295460</v>
      </c>
      <c r="D11" s="48">
        <f>+'1.mell._Össz_Mérleg2014'!D25</f>
        <v>290150</v>
      </c>
      <c r="E11" s="39">
        <f>+'1.mell._Össz_Mérleg2014'!E25</f>
        <v>5310</v>
      </c>
      <c r="F11" s="44">
        <f>+'1.mell._Össz_Mérleg2014'!F25</f>
        <v>0</v>
      </c>
      <c r="G11" s="191" t="s">
        <v>433</v>
      </c>
      <c r="H11" s="50">
        <f t="shared" si="1"/>
        <v>110637</v>
      </c>
      <c r="I11" s="48">
        <f>+'1.mell._Össz_Mérleg2014'!D105</f>
        <v>109362</v>
      </c>
      <c r="J11" s="39">
        <f>+'1.mell._Össz_Mérleg2014'!E105</f>
        <v>1275</v>
      </c>
      <c r="K11" s="44">
        <f>+'1.mell._Össz_Mérleg2014'!F105</f>
        <v>0</v>
      </c>
    </row>
    <row r="12" spans="1:11" s="41" customFormat="1" ht="24">
      <c r="A12" s="130" t="s">
        <v>403</v>
      </c>
      <c r="B12" s="185"/>
      <c r="C12" s="51">
        <f t="shared" si="0"/>
        <v>0</v>
      </c>
      <c r="D12" s="47"/>
      <c r="E12" s="40"/>
      <c r="F12" s="43"/>
      <c r="G12" s="203" t="s">
        <v>404</v>
      </c>
      <c r="H12" s="51">
        <f t="shared" si="1"/>
        <v>0</v>
      </c>
      <c r="I12" s="47">
        <f>+'1.mell._Össz_Mérleg2014'!D106</f>
        <v>0</v>
      </c>
      <c r="J12" s="40">
        <f>+'1.mell._Össz_Mérleg2014'!E106</f>
        <v>0</v>
      </c>
      <c r="K12" s="43">
        <f>+'1.mell._Össz_Mérleg2014'!F106</f>
        <v>0</v>
      </c>
    </row>
    <row r="13" spans="1:11" ht="12">
      <c r="A13" s="129" t="s">
        <v>3</v>
      </c>
      <c r="B13" s="190" t="s">
        <v>436</v>
      </c>
      <c r="C13" s="50">
        <f t="shared" si="0"/>
        <v>94452</v>
      </c>
      <c r="D13" s="48">
        <f>+'1.mell._Össz_Mérleg2014'!D32</f>
        <v>70198</v>
      </c>
      <c r="E13" s="39">
        <f>+'1.mell._Össz_Mérleg2014'!E32</f>
        <v>24254</v>
      </c>
      <c r="F13" s="44">
        <f>+'1.mell._Össz_Mérleg2014'!F32</f>
        <v>0</v>
      </c>
      <c r="G13" s="191" t="s">
        <v>442</v>
      </c>
      <c r="H13" s="50">
        <f t="shared" si="1"/>
        <v>581830</v>
      </c>
      <c r="I13" s="48">
        <f>+'1.mell._Össz_Mérleg2014'!D107</f>
        <v>554795</v>
      </c>
      <c r="J13" s="39">
        <f>+'1.mell._Össz_Mérleg2014'!E107</f>
        <v>27035</v>
      </c>
      <c r="K13" s="44">
        <f>+'1.mell._Össz_Mérleg2014'!F107</f>
        <v>0</v>
      </c>
    </row>
    <row r="14" spans="1:11" s="41" customFormat="1" ht="24">
      <c r="A14" s="130" t="s">
        <v>398</v>
      </c>
      <c r="B14" s="186"/>
      <c r="C14" s="51">
        <f t="shared" si="0"/>
        <v>0</v>
      </c>
      <c r="D14" s="47"/>
      <c r="E14" s="40"/>
      <c r="F14" s="43"/>
      <c r="G14" s="203" t="s">
        <v>405</v>
      </c>
      <c r="H14" s="51">
        <f t="shared" si="1"/>
        <v>0</v>
      </c>
      <c r="I14" s="47">
        <f>+'1.mell._Össz_Mérleg2014'!D108</f>
        <v>0</v>
      </c>
      <c r="J14" s="40">
        <f>+'1.mell._Össz_Mérleg2014'!E108</f>
        <v>0</v>
      </c>
      <c r="K14" s="43">
        <f>+'1.mell._Össz_Mérleg2014'!F108</f>
        <v>0</v>
      </c>
    </row>
    <row r="15" spans="1:11" ht="12.75" customHeight="1">
      <c r="A15" s="129" t="s">
        <v>16</v>
      </c>
      <c r="B15" s="190" t="s">
        <v>437</v>
      </c>
      <c r="C15" s="50">
        <f t="shared" si="0"/>
        <v>54162</v>
      </c>
      <c r="D15" s="48">
        <f>+'1.mell._Össz_Mérleg2014'!D43</f>
        <v>54162</v>
      </c>
      <c r="E15" s="39">
        <f>+'1.mell._Össz_Mérleg2014'!E43</f>
        <v>0</v>
      </c>
      <c r="F15" s="44">
        <f>+'1.mell._Össz_Mérleg2014'!F43</f>
        <v>0</v>
      </c>
      <c r="G15" s="191" t="s">
        <v>443</v>
      </c>
      <c r="H15" s="50">
        <f t="shared" si="1"/>
        <v>266825</v>
      </c>
      <c r="I15" s="48">
        <f>+'1.mell._Össz_Mérleg2014'!D114</f>
        <v>266825</v>
      </c>
      <c r="J15" s="39">
        <f>+'1.mell._Össz_Mérleg2014'!E114</f>
        <v>0</v>
      </c>
      <c r="K15" s="44">
        <f>+'1.mell._Össz_Mérleg2014'!F114</f>
        <v>0</v>
      </c>
    </row>
    <row r="16" spans="1:11" s="41" customFormat="1" ht="12">
      <c r="A16" s="129" t="s">
        <v>15</v>
      </c>
      <c r="B16" s="190"/>
      <c r="C16" s="50">
        <f t="shared" si="0"/>
        <v>0</v>
      </c>
      <c r="D16" s="48"/>
      <c r="E16" s="39"/>
      <c r="F16" s="44"/>
      <c r="G16" s="191" t="s">
        <v>444</v>
      </c>
      <c r="H16" s="50">
        <f t="shared" si="1"/>
        <v>92448</v>
      </c>
      <c r="I16" s="48">
        <f>+'1.mell._Össz_Mérleg2014'!D123</f>
        <v>89698</v>
      </c>
      <c r="J16" s="39">
        <f>+'1.mell._Össz_Mérleg2014'!E123</f>
        <v>2750</v>
      </c>
      <c r="K16" s="44">
        <f>+'1.mell._Össz_Mérleg2014'!F123</f>
        <v>0</v>
      </c>
    </row>
    <row r="17" spans="1:11" s="41" customFormat="1" ht="24.75" thickBot="1">
      <c r="A17" s="134" t="s">
        <v>420</v>
      </c>
      <c r="B17" s="187"/>
      <c r="C17" s="86">
        <f t="shared" si="0"/>
        <v>0</v>
      </c>
      <c r="D17" s="84"/>
      <c r="E17" s="79"/>
      <c r="F17" s="80"/>
      <c r="G17" s="202" t="s">
        <v>393</v>
      </c>
      <c r="H17" s="86">
        <f t="shared" si="1"/>
        <v>0</v>
      </c>
      <c r="I17" s="84">
        <f>+'1.mell._Össz_Mérleg2014'!D130</f>
        <v>0</v>
      </c>
      <c r="J17" s="79">
        <f>+'1.mell._Össz_Mérleg2014'!E130</f>
        <v>0</v>
      </c>
      <c r="K17" s="80">
        <f>+'1.mell._Össz_Mérleg2014'!F130</f>
        <v>0</v>
      </c>
    </row>
    <row r="18" spans="1:11" s="29" customFormat="1" ht="12.75" thickBot="1">
      <c r="A18" s="127" t="s">
        <v>14</v>
      </c>
      <c r="B18" s="114" t="s">
        <v>438</v>
      </c>
      <c r="C18" s="71">
        <f>+C19</f>
        <v>90036</v>
      </c>
      <c r="D18" s="60">
        <f>+D19</f>
        <v>90036</v>
      </c>
      <c r="E18" s="61">
        <f>+E19</f>
        <v>0</v>
      </c>
      <c r="F18" s="62">
        <f>+F19</f>
        <v>0</v>
      </c>
      <c r="G18" s="114" t="s">
        <v>445</v>
      </c>
      <c r="H18" s="71">
        <f>+H19</f>
        <v>0</v>
      </c>
      <c r="I18" s="60">
        <f>+I19</f>
        <v>0</v>
      </c>
      <c r="J18" s="61">
        <f>+J19</f>
        <v>0</v>
      </c>
      <c r="K18" s="62">
        <f>+K19</f>
        <v>0</v>
      </c>
    </row>
    <row r="19" spans="1:11" ht="12">
      <c r="A19" s="188" t="s">
        <v>13</v>
      </c>
      <c r="B19" s="183" t="s">
        <v>439</v>
      </c>
      <c r="C19" s="49">
        <f>+C20+C29+C30</f>
        <v>90036</v>
      </c>
      <c r="D19" s="89">
        <f>+D20+D29+D30</f>
        <v>90036</v>
      </c>
      <c r="E19" s="87">
        <f>+E20+E29+E30</f>
        <v>0</v>
      </c>
      <c r="F19" s="88">
        <f>+F20+F29+F30</f>
        <v>0</v>
      </c>
      <c r="G19" s="183" t="s">
        <v>446</v>
      </c>
      <c r="H19" s="49">
        <f>+H20+H29+H30</f>
        <v>0</v>
      </c>
      <c r="I19" s="89">
        <f>+I20+I29+I30</f>
        <v>0</v>
      </c>
      <c r="J19" s="87">
        <f>+J20+J29+J30</f>
        <v>0</v>
      </c>
      <c r="K19" s="88">
        <f>+K20+K29+K30</f>
        <v>0</v>
      </c>
    </row>
    <row r="20" spans="1:11" s="41" customFormat="1" ht="12">
      <c r="A20" s="128" t="s">
        <v>94</v>
      </c>
      <c r="B20" s="109" t="s">
        <v>440</v>
      </c>
      <c r="C20" s="63">
        <f>+C21+C22+C23+C24+C25+C26+C27+C28</f>
        <v>90036</v>
      </c>
      <c r="D20" s="68">
        <f>+D21+D22+D23+D24+D25+D26+D27+D28</f>
        <v>90036</v>
      </c>
      <c r="E20" s="38">
        <f>+E21+E22+E23+E24+E25+E26+E27+E28</f>
        <v>0</v>
      </c>
      <c r="F20" s="69">
        <f>+F21+F22+F23+F24+F25+F26+F27+F28</f>
        <v>0</v>
      </c>
      <c r="G20" s="109" t="s">
        <v>448</v>
      </c>
      <c r="H20" s="63">
        <f>+H21+H22+H23+H24+H25+H26+H27+H28</f>
        <v>0</v>
      </c>
      <c r="I20" s="68">
        <f>+I21+I22+I23+I24+I25+I26+I27+I28</f>
        <v>0</v>
      </c>
      <c r="J20" s="38">
        <f>+J21+J22+J23+J24+J25+J26+J27+J28</f>
        <v>0</v>
      </c>
      <c r="K20" s="69">
        <f>+K21+K22+K23+K24+K25+K26+K27+K28</f>
        <v>0</v>
      </c>
    </row>
    <row r="21" spans="1:11" s="41" customFormat="1" ht="12">
      <c r="A21" s="130" t="s">
        <v>423</v>
      </c>
      <c r="B21" s="110" t="s">
        <v>284</v>
      </c>
      <c r="C21" s="51">
        <f aca="true" t="shared" si="2" ref="C21:C30">+D21+E21+F21</f>
        <v>0</v>
      </c>
      <c r="D21" s="47">
        <f>+'1.mell._Össz_Mérleg2014'!D69</f>
        <v>0</v>
      </c>
      <c r="E21" s="40">
        <f>+'1.mell._Össz_Mérleg2014'!E69</f>
        <v>0</v>
      </c>
      <c r="F21" s="43">
        <f>+'1.mell._Össz_Mérleg2014'!F69</f>
        <v>0</v>
      </c>
      <c r="G21" s="110" t="s">
        <v>208</v>
      </c>
      <c r="H21" s="51">
        <f aca="true" t="shared" si="3" ref="H21:H30">+I21+J21+K21</f>
        <v>0</v>
      </c>
      <c r="I21" s="47">
        <f>+'1.mell._Össz_Mérleg2014'!D169</f>
        <v>0</v>
      </c>
      <c r="J21" s="40">
        <f>+'1.mell._Össz_Mérleg2014'!E169</f>
        <v>0</v>
      </c>
      <c r="K21" s="43">
        <f>+'1.mell._Össz_Mérleg2014'!F169</f>
        <v>0</v>
      </c>
    </row>
    <row r="22" spans="1:11" s="41" customFormat="1" ht="12">
      <c r="A22" s="130" t="s">
        <v>424</v>
      </c>
      <c r="B22" s="110" t="s">
        <v>285</v>
      </c>
      <c r="C22" s="51">
        <f t="shared" si="2"/>
        <v>0</v>
      </c>
      <c r="D22" s="47">
        <f>+'1.mell._Össz_Mérleg2014'!D70</f>
        <v>0</v>
      </c>
      <c r="E22" s="40">
        <f>+'1.mell._Össz_Mérleg2014'!E70</f>
        <v>0</v>
      </c>
      <c r="F22" s="43">
        <f>+'1.mell._Össz_Mérleg2014'!F70</f>
        <v>0</v>
      </c>
      <c r="G22" s="110" t="s">
        <v>209</v>
      </c>
      <c r="H22" s="51">
        <f t="shared" si="3"/>
        <v>0</v>
      </c>
      <c r="I22" s="47">
        <f>+'1.mell._Össz_Mérleg2014'!D170</f>
        <v>0</v>
      </c>
      <c r="J22" s="40">
        <f>+'1.mell._Össz_Mérleg2014'!E170</f>
        <v>0</v>
      </c>
      <c r="K22" s="43">
        <f>+'1.mell._Össz_Mérleg2014'!F170</f>
        <v>0</v>
      </c>
    </row>
    <row r="23" spans="1:11" s="41" customFormat="1" ht="12">
      <c r="A23" s="130" t="s">
        <v>425</v>
      </c>
      <c r="B23" s="110" t="s">
        <v>286</v>
      </c>
      <c r="C23" s="51">
        <f t="shared" si="2"/>
        <v>90036</v>
      </c>
      <c r="D23" s="47">
        <f>+'1.mell._Össz_Mérleg2014'!D71</f>
        <v>90036</v>
      </c>
      <c r="E23" s="40">
        <f>+'1.mell._Össz_Mérleg2014'!E71</f>
        <v>0</v>
      </c>
      <c r="F23" s="43">
        <f>+'1.mell._Össz_Mérleg2014'!F71</f>
        <v>0</v>
      </c>
      <c r="G23" s="110" t="s">
        <v>210</v>
      </c>
      <c r="H23" s="51">
        <f t="shared" si="3"/>
        <v>0</v>
      </c>
      <c r="I23" s="47">
        <f>+'1.mell._Össz_Mérleg2014'!D171</f>
        <v>0</v>
      </c>
      <c r="J23" s="40">
        <f>+'1.mell._Össz_Mérleg2014'!E171</f>
        <v>0</v>
      </c>
      <c r="K23" s="43">
        <f>+'1.mell._Össz_Mérleg2014'!F171</f>
        <v>0</v>
      </c>
    </row>
    <row r="24" spans="1:11" s="41" customFormat="1" ht="12">
      <c r="A24" s="130" t="s">
        <v>426</v>
      </c>
      <c r="B24" s="110" t="s">
        <v>287</v>
      </c>
      <c r="C24" s="51">
        <f t="shared" si="2"/>
        <v>0</v>
      </c>
      <c r="D24" s="47">
        <f>+'1.mell._Össz_Mérleg2014'!D72</f>
        <v>0</v>
      </c>
      <c r="E24" s="40">
        <f>+'1.mell._Össz_Mérleg2014'!E72</f>
        <v>0</v>
      </c>
      <c r="F24" s="43">
        <f>+'1.mell._Össz_Mérleg2014'!F72</f>
        <v>0</v>
      </c>
      <c r="G24" s="110" t="s">
        <v>211</v>
      </c>
      <c r="H24" s="51">
        <f t="shared" si="3"/>
        <v>0</v>
      </c>
      <c r="I24" s="47">
        <f>+'1.mell._Össz_Mérleg2014'!D172</f>
        <v>0</v>
      </c>
      <c r="J24" s="40">
        <f>+'1.mell._Össz_Mérleg2014'!E172</f>
        <v>0</v>
      </c>
      <c r="K24" s="43">
        <f>+'1.mell._Össz_Mérleg2014'!F172</f>
        <v>0</v>
      </c>
    </row>
    <row r="25" spans="1:11" s="41" customFormat="1" ht="12">
      <c r="A25" s="130" t="s">
        <v>427</v>
      </c>
      <c r="B25" s="110" t="s">
        <v>288</v>
      </c>
      <c r="C25" s="51">
        <f t="shared" si="2"/>
        <v>0</v>
      </c>
      <c r="D25" s="47">
        <f>+'1.mell._Össz_Mérleg2014'!D73</f>
        <v>0</v>
      </c>
      <c r="E25" s="40">
        <f>+'1.mell._Össz_Mérleg2014'!E73</f>
        <v>0</v>
      </c>
      <c r="F25" s="43">
        <f>+'1.mell._Össz_Mérleg2014'!F73</f>
        <v>0</v>
      </c>
      <c r="G25" s="110" t="s">
        <v>212</v>
      </c>
      <c r="H25" s="51">
        <f t="shared" si="3"/>
        <v>0</v>
      </c>
      <c r="I25" s="47">
        <f>+'1.mell._Össz_Mérleg2014'!D173</f>
        <v>0</v>
      </c>
      <c r="J25" s="40">
        <f>+'1.mell._Össz_Mérleg2014'!E173</f>
        <v>0</v>
      </c>
      <c r="K25" s="43">
        <f>+'1.mell._Össz_Mérleg2014'!F173</f>
        <v>0</v>
      </c>
    </row>
    <row r="26" spans="1:11" s="41" customFormat="1" ht="12">
      <c r="A26" s="130" t="s">
        <v>428</v>
      </c>
      <c r="B26" s="110" t="s">
        <v>289</v>
      </c>
      <c r="C26" s="51">
        <f t="shared" si="2"/>
        <v>0</v>
      </c>
      <c r="D26" s="47">
        <f>+'1.mell._Össz_Mérleg2014'!D74</f>
        <v>0</v>
      </c>
      <c r="E26" s="40">
        <f>+'1.mell._Össz_Mérleg2014'!E74</f>
        <v>0</v>
      </c>
      <c r="F26" s="43">
        <f>+'1.mell._Össz_Mérleg2014'!F74</f>
        <v>0</v>
      </c>
      <c r="G26" s="110" t="s">
        <v>217</v>
      </c>
      <c r="H26" s="51">
        <f t="shared" si="3"/>
        <v>0</v>
      </c>
      <c r="I26" s="47">
        <f>+'1.mell._Össz_Mérleg2014'!D174</f>
        <v>0</v>
      </c>
      <c r="J26" s="40">
        <f>+'1.mell._Össz_Mérleg2014'!E174</f>
        <v>0</v>
      </c>
      <c r="K26" s="43">
        <f>+'1.mell._Össz_Mérleg2014'!F174</f>
        <v>0</v>
      </c>
    </row>
    <row r="27" spans="1:11" s="41" customFormat="1" ht="12">
      <c r="A27" s="130" t="s">
        <v>429</v>
      </c>
      <c r="B27" s="110" t="s">
        <v>290</v>
      </c>
      <c r="C27" s="51">
        <f t="shared" si="2"/>
        <v>0</v>
      </c>
      <c r="D27" s="47">
        <f>+'1.mell._Össz_Mérleg2014'!D75</f>
        <v>0</v>
      </c>
      <c r="E27" s="40">
        <f>+'1.mell._Össz_Mérleg2014'!E75</f>
        <v>0</v>
      </c>
      <c r="F27" s="43">
        <f>+'1.mell._Össz_Mérleg2014'!F75</f>
        <v>0</v>
      </c>
      <c r="G27" s="110" t="s">
        <v>213</v>
      </c>
      <c r="H27" s="51">
        <f t="shared" si="3"/>
        <v>0</v>
      </c>
      <c r="I27" s="47">
        <f>+'1.mell._Össz_Mérleg2014'!D175</f>
        <v>0</v>
      </c>
      <c r="J27" s="40">
        <f>+'1.mell._Össz_Mérleg2014'!E175</f>
        <v>0</v>
      </c>
      <c r="K27" s="43">
        <f>+'1.mell._Össz_Mérleg2014'!F175</f>
        <v>0</v>
      </c>
    </row>
    <row r="28" spans="1:11" ht="12">
      <c r="A28" s="130" t="s">
        <v>430</v>
      </c>
      <c r="B28" s="110" t="s">
        <v>283</v>
      </c>
      <c r="C28" s="51">
        <f t="shared" si="2"/>
        <v>0</v>
      </c>
      <c r="D28" s="47">
        <f>+'1.mell._Össz_Mérleg2014'!D76</f>
        <v>0</v>
      </c>
      <c r="E28" s="40">
        <f>+'1.mell._Össz_Mérleg2014'!E76</f>
        <v>0</v>
      </c>
      <c r="F28" s="43">
        <f>+'1.mell._Össz_Mérleg2014'!F76</f>
        <v>0</v>
      </c>
      <c r="G28" s="110" t="s">
        <v>214</v>
      </c>
      <c r="H28" s="51">
        <f t="shared" si="3"/>
        <v>0</v>
      </c>
      <c r="I28" s="47">
        <f>+'1.mell._Össz_Mérleg2014'!D176</f>
        <v>0</v>
      </c>
      <c r="J28" s="40">
        <f>+'1.mell._Össz_Mérleg2014'!E176</f>
        <v>0</v>
      </c>
      <c r="K28" s="43">
        <f>+'1.mell._Össz_Mérleg2014'!F176</f>
        <v>0</v>
      </c>
    </row>
    <row r="29" spans="1:11" ht="12">
      <c r="A29" s="129" t="s">
        <v>95</v>
      </c>
      <c r="B29" s="111" t="s">
        <v>281</v>
      </c>
      <c r="C29" s="50">
        <f t="shared" si="2"/>
        <v>0</v>
      </c>
      <c r="D29" s="48">
        <f>+'1.mell._Össz_Mérleg2014'!D77</f>
        <v>0</v>
      </c>
      <c r="E29" s="39">
        <f>+'1.mell._Össz_Mérleg2014'!E77</f>
        <v>0</v>
      </c>
      <c r="F29" s="44">
        <f>+'1.mell._Össz_Mérleg2014'!F77</f>
        <v>0</v>
      </c>
      <c r="G29" s="111" t="s">
        <v>215</v>
      </c>
      <c r="H29" s="50">
        <f t="shared" si="3"/>
        <v>0</v>
      </c>
      <c r="I29" s="48">
        <f>+'1.mell._Össz_Mérleg2014'!D177</f>
        <v>0</v>
      </c>
      <c r="J29" s="39">
        <f>+'1.mell._Össz_Mérleg2014'!E177</f>
        <v>0</v>
      </c>
      <c r="K29" s="44">
        <f>+'1.mell._Össz_Mérleg2014'!F177</f>
        <v>0</v>
      </c>
    </row>
    <row r="30" spans="1:11" s="29" customFormat="1" ht="12.75" thickBot="1">
      <c r="A30" s="122" t="s">
        <v>96</v>
      </c>
      <c r="B30" s="112" t="s">
        <v>282</v>
      </c>
      <c r="C30" s="53">
        <f t="shared" si="2"/>
        <v>0</v>
      </c>
      <c r="D30" s="54">
        <f>+'1.mell._Össz_Mérleg2014'!D78</f>
        <v>0</v>
      </c>
      <c r="E30" s="55">
        <f>+'1.mell._Össz_Mérleg2014'!E78</f>
        <v>0</v>
      </c>
      <c r="F30" s="56">
        <f>+'1.mell._Össz_Mérleg2014'!F78</f>
        <v>0</v>
      </c>
      <c r="G30" s="112" t="s">
        <v>216</v>
      </c>
      <c r="H30" s="53">
        <f t="shared" si="3"/>
        <v>0</v>
      </c>
      <c r="I30" s="54">
        <f>+'1.mell._Össz_Mérleg2014'!D178</f>
        <v>0</v>
      </c>
      <c r="J30" s="55">
        <f>+'1.mell._Össz_Mérleg2014'!E178</f>
        <v>0</v>
      </c>
      <c r="K30" s="56">
        <f>+'1.mell._Össz_Mérleg2014'!F178</f>
        <v>0</v>
      </c>
    </row>
    <row r="31" spans="1:11" s="29" customFormat="1" ht="12.75" thickBot="1">
      <c r="A31" s="125" t="s">
        <v>12</v>
      </c>
      <c r="B31" s="200" t="s">
        <v>449</v>
      </c>
      <c r="C31" s="70">
        <f>+C8+C18</f>
        <v>1660547</v>
      </c>
      <c r="D31" s="199">
        <f>+D8+D18</f>
        <v>1629183</v>
      </c>
      <c r="E31" s="198">
        <f>+E8+E18</f>
        <v>31364</v>
      </c>
      <c r="F31" s="197">
        <f>+F8+F18</f>
        <v>0</v>
      </c>
      <c r="G31" s="184" t="s">
        <v>452</v>
      </c>
      <c r="H31" s="71">
        <f>+H8+H18</f>
        <v>1575124</v>
      </c>
      <c r="I31" s="60">
        <f>+I8+I18</f>
        <v>1539160</v>
      </c>
      <c r="J31" s="61">
        <f>+J8+J18</f>
        <v>35964</v>
      </c>
      <c r="K31" s="62">
        <f>+K8+K18</f>
        <v>0</v>
      </c>
    </row>
    <row r="32" spans="1:11" s="29" customFormat="1" ht="12.75" thickBot="1">
      <c r="A32" s="127" t="s">
        <v>11</v>
      </c>
      <c r="B32" s="113" t="s">
        <v>450</v>
      </c>
      <c r="C32" s="207">
        <f>IF(((H8-C8)&gt;0),H8-C8,"----")</f>
        <v>4613</v>
      </c>
      <c r="D32" s="206">
        <f>IF(((I8-D8)&gt;0),I8-D8,"----")</f>
        <v>13</v>
      </c>
      <c r="E32" s="205">
        <f>IF(((J8-E8)&gt;0),J8-E8,"----")</f>
        <v>4600</v>
      </c>
      <c r="F32" s="204" t="str">
        <f>IF(((K8-F8)&gt;0),K8-F8,"----")</f>
        <v>----</v>
      </c>
      <c r="G32" s="113" t="s">
        <v>451</v>
      </c>
      <c r="H32" s="207" t="str">
        <f>IF(((C8-H8)&gt;0),C8-H8,"----")</f>
        <v>----</v>
      </c>
      <c r="I32" s="206" t="str">
        <f>IF(((D8-I8)&gt;0),D8-I8,"----")</f>
        <v>----</v>
      </c>
      <c r="J32" s="205" t="str">
        <f>IF(((E8-J8)&gt;0),E8-J8,"----")</f>
        <v>----</v>
      </c>
      <c r="K32" s="204" t="str">
        <f>IF(((F8-K8)&gt;0),F8-K8,"----")</f>
        <v>----</v>
      </c>
    </row>
    <row r="33" spans="1:11" s="29" customFormat="1" ht="12.75" thickBot="1">
      <c r="A33" s="127" t="s">
        <v>10</v>
      </c>
      <c r="B33" s="113" t="s">
        <v>455</v>
      </c>
      <c r="C33" s="207" t="str">
        <f>IF(((H18-C18)&gt;0),H18-C18,"----")</f>
        <v>----</v>
      </c>
      <c r="D33" s="206" t="str">
        <f>IF(((I18-D18)&gt;0),I18-D18,"----")</f>
        <v>----</v>
      </c>
      <c r="E33" s="205" t="str">
        <f>IF(((J18-E18)&gt;0),J18-E18,"----")</f>
        <v>----</v>
      </c>
      <c r="F33" s="204" t="str">
        <f>IF(((K18-F18)&gt;0),K18-F18,"----")</f>
        <v>----</v>
      </c>
      <c r="G33" s="113" t="s">
        <v>456</v>
      </c>
      <c r="H33" s="207">
        <f>IF(((C18-H18)&gt;0),C18-H18,"----")</f>
        <v>90036</v>
      </c>
      <c r="I33" s="206">
        <f>IF(((D18-I18)&gt;0),D18-I18,"----")</f>
        <v>90036</v>
      </c>
      <c r="J33" s="205" t="str">
        <f>IF(((E18-J18)&gt;0),E18-J18,"----")</f>
        <v>----</v>
      </c>
      <c r="K33" s="204" t="str">
        <f>IF(((F18-K18)&gt;0),F18-K18,"----")</f>
        <v>----</v>
      </c>
    </row>
  </sheetData>
  <sheetProtection/>
  <mergeCells count="4">
    <mergeCell ref="A3:K3"/>
    <mergeCell ref="A4:K4"/>
    <mergeCell ref="C7:F7"/>
    <mergeCell ref="H7:K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3" r:id="rId1"/>
  <headerFooter>
    <oddHeader>&amp;C 2.a. melléklet - &amp;P. oldal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K37"/>
  <sheetViews>
    <sheetView zoomScale="80" zoomScaleNormal="80" zoomScalePageLayoutView="0" workbookViewId="0" topLeftCell="A1">
      <selection activeCell="K1" sqref="K1"/>
    </sheetView>
  </sheetViews>
  <sheetFormatPr defaultColWidth="9.00390625" defaultRowHeight="12.75"/>
  <cols>
    <col min="1" max="1" width="6.625" style="30" customWidth="1"/>
    <col min="2" max="2" width="70.375" style="30" customWidth="1"/>
    <col min="3" max="6" width="9.125" style="30" customWidth="1"/>
    <col min="7" max="7" width="60.00390625" style="30" customWidth="1"/>
    <col min="8" max="16384" width="9.125" style="30" customWidth="1"/>
  </cols>
  <sheetData>
    <row r="1" s="90" customFormat="1" ht="15.75">
      <c r="K1" s="91" t="s">
        <v>1408</v>
      </c>
    </row>
    <row r="2" s="90" customFormat="1" ht="15.75"/>
    <row r="3" spans="1:11" s="92" customFormat="1" ht="15.75">
      <c r="A3" s="1298" t="s">
        <v>382</v>
      </c>
      <c r="B3" s="1298"/>
      <c r="C3" s="1298"/>
      <c r="D3" s="1298"/>
      <c r="E3" s="1298"/>
      <c r="F3" s="1298"/>
      <c r="G3" s="1298"/>
      <c r="H3" s="1298"/>
      <c r="I3" s="1298"/>
      <c r="J3" s="1298"/>
      <c r="K3" s="1298"/>
    </row>
    <row r="4" spans="1:11" s="92" customFormat="1" ht="15.75">
      <c r="A4" s="1298" t="s">
        <v>458</v>
      </c>
      <c r="B4" s="1298"/>
      <c r="C4" s="1298"/>
      <c r="D4" s="1298"/>
      <c r="E4" s="1298"/>
      <c r="F4" s="1298"/>
      <c r="G4" s="1298"/>
      <c r="H4" s="1298"/>
      <c r="I4" s="1298"/>
      <c r="J4" s="1298"/>
      <c r="K4" s="1298"/>
    </row>
    <row r="5" spans="1:11" s="73" customFormat="1" ht="12.75" thickBot="1">
      <c r="A5" s="75"/>
      <c r="K5" s="74" t="s">
        <v>319</v>
      </c>
    </row>
    <row r="6" spans="1:11" s="35" customFormat="1" ht="54" customHeight="1" thickBot="1">
      <c r="A6" s="123" t="s">
        <v>17</v>
      </c>
      <c r="B6" s="137" t="s">
        <v>378</v>
      </c>
      <c r="C6" s="195" t="s">
        <v>419</v>
      </c>
      <c r="D6" s="194" t="s">
        <v>79</v>
      </c>
      <c r="E6" s="193" t="s">
        <v>80</v>
      </c>
      <c r="F6" s="192" t="s">
        <v>81</v>
      </c>
      <c r="G6" s="124" t="s">
        <v>379</v>
      </c>
      <c r="H6" s="123" t="s">
        <v>419</v>
      </c>
      <c r="I6" s="194" t="s">
        <v>79</v>
      </c>
      <c r="J6" s="193" t="s">
        <v>80</v>
      </c>
      <c r="K6" s="192" t="s">
        <v>81</v>
      </c>
    </row>
    <row r="7" spans="1:11" s="29" customFormat="1" ht="12.75" thickBot="1">
      <c r="A7" s="127" t="s">
        <v>291</v>
      </c>
      <c r="B7" s="138" t="s">
        <v>292</v>
      </c>
      <c r="C7" s="1306" t="s">
        <v>293</v>
      </c>
      <c r="D7" s="1307"/>
      <c r="E7" s="1307"/>
      <c r="F7" s="1308"/>
      <c r="G7" s="126" t="s">
        <v>421</v>
      </c>
      <c r="H7" s="1309" t="s">
        <v>422</v>
      </c>
      <c r="I7" s="1310"/>
      <c r="J7" s="1310"/>
      <c r="K7" s="1311"/>
    </row>
    <row r="8" spans="1:11" s="29" customFormat="1" ht="12.75" thickBot="1">
      <c r="A8" s="139" t="s">
        <v>4</v>
      </c>
      <c r="B8" s="107" t="s">
        <v>469</v>
      </c>
      <c r="C8" s="70">
        <f>+C9+C11+C13+C15</f>
        <v>26356</v>
      </c>
      <c r="D8" s="65">
        <f>+D9+D11+D13+D15</f>
        <v>23356</v>
      </c>
      <c r="E8" s="66">
        <f>+E9+E11+E13+E15</f>
        <v>3000</v>
      </c>
      <c r="F8" s="67">
        <f>+F9+F11+F13+F15</f>
        <v>0</v>
      </c>
      <c r="G8" s="113" t="s">
        <v>474</v>
      </c>
      <c r="H8" s="71">
        <f>+H9+H11+H13+H15+H16</f>
        <v>111779</v>
      </c>
      <c r="I8" s="60">
        <f>+I9+I11+I13+I15+I16</f>
        <v>111779</v>
      </c>
      <c r="J8" s="61">
        <f>+J9+J11+J13+J15+J16</f>
        <v>0</v>
      </c>
      <c r="K8" s="62">
        <f>+K9+K11+K13+K15+K16</f>
        <v>0</v>
      </c>
    </row>
    <row r="9" spans="1:11" ht="12.75" customHeight="1">
      <c r="A9" s="188" t="s">
        <v>5</v>
      </c>
      <c r="B9" s="183" t="s">
        <v>466</v>
      </c>
      <c r="C9" s="49">
        <f>+D9+E9+F9</f>
        <v>23356</v>
      </c>
      <c r="D9" s="89">
        <f>+'1.mell._Össz_Mérleg2014'!D48</f>
        <v>23356</v>
      </c>
      <c r="E9" s="87">
        <f>+'1.mell._Össz_Mérleg2014'!E48</f>
        <v>0</v>
      </c>
      <c r="F9" s="88">
        <f>+'1.mell._Össz_Mérleg2014'!F48</f>
        <v>0</v>
      </c>
      <c r="G9" s="189" t="s">
        <v>475</v>
      </c>
      <c r="H9" s="49">
        <f>+I9+J9+K9</f>
        <v>96779</v>
      </c>
      <c r="I9" s="89">
        <f>+'1.mell._Össz_Mérleg2014'!D140</f>
        <v>96779</v>
      </c>
      <c r="J9" s="87">
        <f>+'1.mell._Össz_Mérleg2014'!E140</f>
        <v>0</v>
      </c>
      <c r="K9" s="88">
        <f>+'1.mell._Össz_Mérleg2014'!F140</f>
        <v>0</v>
      </c>
    </row>
    <row r="10" spans="1:11" s="41" customFormat="1" ht="24">
      <c r="A10" s="130" t="s">
        <v>406</v>
      </c>
      <c r="B10" s="201"/>
      <c r="C10" s="51">
        <f aca="true" t="shared" si="0" ref="C10:C17">+D10+E10+F10</f>
        <v>0</v>
      </c>
      <c r="D10" s="47"/>
      <c r="E10" s="40"/>
      <c r="F10" s="43"/>
      <c r="G10" s="203" t="s">
        <v>399</v>
      </c>
      <c r="H10" s="51">
        <f aca="true" t="shared" si="1" ref="H10:H17">+I10+J10+K10</f>
        <v>64039</v>
      </c>
      <c r="I10" s="47">
        <f>+'1.mell._Össz_Mérleg2014'!D141</f>
        <v>64039</v>
      </c>
      <c r="J10" s="40">
        <f>+'1.mell._Össz_Mérleg2014'!E141</f>
        <v>0</v>
      </c>
      <c r="K10" s="43">
        <f>+'1.mell._Össz_Mérleg2014'!F141</f>
        <v>0</v>
      </c>
    </row>
    <row r="11" spans="1:11" ht="12.75" customHeight="1">
      <c r="A11" s="129" t="s">
        <v>6</v>
      </c>
      <c r="B11" s="190" t="s">
        <v>467</v>
      </c>
      <c r="C11" s="50">
        <f t="shared" si="0"/>
        <v>300</v>
      </c>
      <c r="D11" s="48">
        <f>+'1.mell._Össz_Mérleg2014'!D55</f>
        <v>0</v>
      </c>
      <c r="E11" s="39">
        <f>+'1.mell._Össz_Mérleg2014'!E55</f>
        <v>300</v>
      </c>
      <c r="F11" s="44">
        <f>+'1.mell._Össz_Mérleg2014'!F55</f>
        <v>0</v>
      </c>
      <c r="G11" s="191" t="s">
        <v>476</v>
      </c>
      <c r="H11" s="50">
        <f t="shared" si="1"/>
        <v>15000</v>
      </c>
      <c r="I11" s="48">
        <f>+'1.mell._Össz_Mérleg2014'!D149</f>
        <v>15000</v>
      </c>
      <c r="J11" s="39">
        <f>+'1.mell._Össz_Mérleg2014'!E149</f>
        <v>0</v>
      </c>
      <c r="K11" s="44">
        <f>+'1.mell._Össz_Mérleg2014'!F149</f>
        <v>0</v>
      </c>
    </row>
    <row r="12" spans="1:11" s="41" customFormat="1" ht="24">
      <c r="A12" s="130" t="s">
        <v>403</v>
      </c>
      <c r="B12" s="185"/>
      <c r="C12" s="51">
        <f t="shared" si="0"/>
        <v>0</v>
      </c>
      <c r="D12" s="47"/>
      <c r="E12" s="40"/>
      <c r="F12" s="43"/>
      <c r="G12" s="203" t="s">
        <v>402</v>
      </c>
      <c r="H12" s="51">
        <f t="shared" si="1"/>
        <v>0</v>
      </c>
      <c r="I12" s="47">
        <f>+'1.mell._Össz_Mérleg2014'!D150</f>
        <v>0</v>
      </c>
      <c r="J12" s="40">
        <f>+'1.mell._Össz_Mérleg2014'!E150</f>
        <v>0</v>
      </c>
      <c r="K12" s="43">
        <f>+'1.mell._Össz_Mérleg2014'!F150</f>
        <v>0</v>
      </c>
    </row>
    <row r="13" spans="1:11" ht="12">
      <c r="A13" s="129" t="s">
        <v>3</v>
      </c>
      <c r="B13" s="190" t="s">
        <v>468</v>
      </c>
      <c r="C13" s="50">
        <f t="shared" si="0"/>
        <v>2700</v>
      </c>
      <c r="D13" s="48">
        <f>+'1.mell._Össz_Mérleg2014'!D61</f>
        <v>0</v>
      </c>
      <c r="E13" s="39">
        <f>+'1.mell._Össz_Mérleg2014'!E61</f>
        <v>2700</v>
      </c>
      <c r="F13" s="44">
        <f>+'1.mell._Össz_Mérleg2014'!F61</f>
        <v>0</v>
      </c>
      <c r="G13" s="191" t="s">
        <v>477</v>
      </c>
      <c r="H13" s="50">
        <f t="shared" si="1"/>
        <v>0</v>
      </c>
      <c r="I13" s="48">
        <f>+'1.mell._Össz_Mérleg2014'!D155</f>
        <v>0</v>
      </c>
      <c r="J13" s="39">
        <f>+'1.mell._Össz_Mérleg2014'!E155</f>
        <v>0</v>
      </c>
      <c r="K13" s="44">
        <f>+'1.mell._Össz_Mérleg2014'!F155</f>
        <v>0</v>
      </c>
    </row>
    <row r="14" spans="1:11" s="41" customFormat="1" ht="24">
      <c r="A14" s="130" t="s">
        <v>398</v>
      </c>
      <c r="B14" s="186"/>
      <c r="C14" s="51">
        <f t="shared" si="0"/>
        <v>0</v>
      </c>
      <c r="D14" s="47"/>
      <c r="E14" s="40"/>
      <c r="F14" s="43"/>
      <c r="G14" s="203" t="s">
        <v>396</v>
      </c>
      <c r="H14" s="51">
        <f t="shared" si="1"/>
        <v>0</v>
      </c>
      <c r="I14" s="47">
        <f>+'1.mell._Össz_Mérleg2014'!D160</f>
        <v>0</v>
      </c>
      <c r="J14" s="40">
        <f>+'1.mell._Össz_Mérleg2014'!E160</f>
        <v>0</v>
      </c>
      <c r="K14" s="43">
        <f>+'1.mell._Össz_Mérleg2014'!F160</f>
        <v>0</v>
      </c>
    </row>
    <row r="15" spans="1:11" ht="12.75" customHeight="1">
      <c r="A15" s="129" t="s">
        <v>16</v>
      </c>
      <c r="B15" s="190"/>
      <c r="C15" s="50">
        <f t="shared" si="0"/>
        <v>0</v>
      </c>
      <c r="D15" s="48"/>
      <c r="E15" s="39"/>
      <c r="F15" s="44"/>
      <c r="G15" s="191"/>
      <c r="H15" s="50">
        <f t="shared" si="1"/>
        <v>0</v>
      </c>
      <c r="I15" s="48"/>
      <c r="J15" s="39"/>
      <c r="K15" s="44"/>
    </row>
    <row r="16" spans="1:11" s="41" customFormat="1" ht="12">
      <c r="A16" s="129" t="s">
        <v>15</v>
      </c>
      <c r="B16" s="190"/>
      <c r="C16" s="50">
        <f t="shared" si="0"/>
        <v>0</v>
      </c>
      <c r="D16" s="48"/>
      <c r="E16" s="39"/>
      <c r="F16" s="44"/>
      <c r="G16" s="191"/>
      <c r="H16" s="50">
        <f t="shared" si="1"/>
        <v>0</v>
      </c>
      <c r="I16" s="48"/>
      <c r="J16" s="39"/>
      <c r="K16" s="44"/>
    </row>
    <row r="17" spans="1:11" s="41" customFormat="1" ht="12.75" thickBot="1">
      <c r="A17" s="134" t="s">
        <v>420</v>
      </c>
      <c r="B17" s="187"/>
      <c r="C17" s="86">
        <f t="shared" si="0"/>
        <v>0</v>
      </c>
      <c r="D17" s="84"/>
      <c r="E17" s="79"/>
      <c r="F17" s="80"/>
      <c r="G17" s="202"/>
      <c r="H17" s="86">
        <f t="shared" si="1"/>
        <v>0</v>
      </c>
      <c r="I17" s="84"/>
      <c r="J17" s="79"/>
      <c r="K17" s="80"/>
    </row>
    <row r="18" spans="1:11" s="29" customFormat="1" ht="12.75" thickBot="1">
      <c r="A18" s="127" t="s">
        <v>14</v>
      </c>
      <c r="B18" s="114" t="s">
        <v>459</v>
      </c>
      <c r="C18" s="71">
        <f>+C19</f>
        <v>0</v>
      </c>
      <c r="D18" s="60">
        <f>+D19</f>
        <v>0</v>
      </c>
      <c r="E18" s="61">
        <f>+E19</f>
        <v>0</v>
      </c>
      <c r="F18" s="62">
        <f>+F19</f>
        <v>0</v>
      </c>
      <c r="G18" s="114" t="s">
        <v>465</v>
      </c>
      <c r="H18" s="71">
        <f>+H19</f>
        <v>0</v>
      </c>
      <c r="I18" s="60">
        <f>+I19</f>
        <v>0</v>
      </c>
      <c r="J18" s="61">
        <f>+J19</f>
        <v>0</v>
      </c>
      <c r="K18" s="62">
        <f>+K19</f>
        <v>0</v>
      </c>
    </row>
    <row r="19" spans="1:11" ht="12">
      <c r="A19" s="188" t="s">
        <v>13</v>
      </c>
      <c r="B19" s="183" t="s">
        <v>471</v>
      </c>
      <c r="C19" s="49">
        <f>+C20+C29+C30</f>
        <v>0</v>
      </c>
      <c r="D19" s="89">
        <f>+D20+D29+D30</f>
        <v>0</v>
      </c>
      <c r="E19" s="87">
        <f>+E20+E29+E30</f>
        <v>0</v>
      </c>
      <c r="F19" s="88">
        <f>+F20+F29+F30</f>
        <v>0</v>
      </c>
      <c r="G19" s="183" t="s">
        <v>473</v>
      </c>
      <c r="H19" s="49">
        <f>+H20+H29+H30</f>
        <v>0</v>
      </c>
      <c r="I19" s="89">
        <f>+I20+I29+I30</f>
        <v>0</v>
      </c>
      <c r="J19" s="87">
        <f>+J20+J29+J30</f>
        <v>0</v>
      </c>
      <c r="K19" s="88">
        <f>+K20+K29+K30</f>
        <v>0</v>
      </c>
    </row>
    <row r="20" spans="1:11" s="41" customFormat="1" ht="12">
      <c r="A20" s="128" t="s">
        <v>94</v>
      </c>
      <c r="B20" s="109" t="s">
        <v>470</v>
      </c>
      <c r="C20" s="63">
        <f>+C21+C22+C23+C24+C25+C26+C27+C28</f>
        <v>0</v>
      </c>
      <c r="D20" s="68">
        <f>+D21+D22+D23+D24+D25+D26+D27+D28</f>
        <v>0</v>
      </c>
      <c r="E20" s="38">
        <f>+E21+E22+E23+E24+E25+E26+E27+E28</f>
        <v>0</v>
      </c>
      <c r="F20" s="69">
        <f>+F21+F22+F23+F24+F25+F26+F27+F28</f>
        <v>0</v>
      </c>
      <c r="G20" s="109" t="s">
        <v>472</v>
      </c>
      <c r="H20" s="63">
        <f>+H21+H22+H23+H24+H25+H26+H27+H28</f>
        <v>0</v>
      </c>
      <c r="I20" s="68">
        <f>+I21+I22+I23+I24+I25+I26+I27+I28</f>
        <v>0</v>
      </c>
      <c r="J20" s="38">
        <f>+J21+J22+J23+J24+J25+J26+J27+J28</f>
        <v>0</v>
      </c>
      <c r="K20" s="69">
        <f>+K21+K22+K23+K24+K25+K26+K27+K28</f>
        <v>0</v>
      </c>
    </row>
    <row r="21" spans="1:11" s="41" customFormat="1" ht="12">
      <c r="A21" s="130" t="s">
        <v>423</v>
      </c>
      <c r="B21" s="110" t="s">
        <v>284</v>
      </c>
      <c r="C21" s="51">
        <f aca="true" t="shared" si="2" ref="C21:C30">+D21+E21+F21</f>
        <v>0</v>
      </c>
      <c r="D21" s="47">
        <f>+'1.mell._Össz_Mérleg2014'!D82</f>
        <v>0</v>
      </c>
      <c r="E21" s="40">
        <f>+'1.mell._Össz_Mérleg2014'!E82</f>
        <v>0</v>
      </c>
      <c r="F21" s="43">
        <f>+'1.mell._Össz_Mérleg2014'!F82</f>
        <v>0</v>
      </c>
      <c r="G21" s="110" t="s">
        <v>208</v>
      </c>
      <c r="H21" s="51">
        <f aca="true" t="shared" si="3" ref="H21:H30">+I21+J21+K21</f>
        <v>0</v>
      </c>
      <c r="I21" s="47">
        <f>+'1.mell._Össz_Mérleg2014'!D182</f>
        <v>0</v>
      </c>
      <c r="J21" s="40">
        <f>+'1.mell._Össz_Mérleg2014'!E182</f>
        <v>0</v>
      </c>
      <c r="K21" s="43">
        <f>+'1.mell._Össz_Mérleg2014'!F182</f>
        <v>0</v>
      </c>
    </row>
    <row r="22" spans="1:11" s="41" customFormat="1" ht="12">
      <c r="A22" s="130" t="s">
        <v>424</v>
      </c>
      <c r="B22" s="110" t="s">
        <v>285</v>
      </c>
      <c r="C22" s="51">
        <f t="shared" si="2"/>
        <v>0</v>
      </c>
      <c r="D22" s="47">
        <f>+'1.mell._Össz_Mérleg2014'!D83</f>
        <v>0</v>
      </c>
      <c r="E22" s="40">
        <f>+'1.mell._Össz_Mérleg2014'!E83</f>
        <v>0</v>
      </c>
      <c r="F22" s="43">
        <f>+'1.mell._Össz_Mérleg2014'!F83</f>
        <v>0</v>
      </c>
      <c r="G22" s="110" t="s">
        <v>209</v>
      </c>
      <c r="H22" s="51">
        <f t="shared" si="3"/>
        <v>0</v>
      </c>
      <c r="I22" s="47">
        <f>+'1.mell._Össz_Mérleg2014'!D183</f>
        <v>0</v>
      </c>
      <c r="J22" s="40">
        <f>+'1.mell._Össz_Mérleg2014'!E183</f>
        <v>0</v>
      </c>
      <c r="K22" s="43">
        <f>+'1.mell._Össz_Mérleg2014'!F183</f>
        <v>0</v>
      </c>
    </row>
    <row r="23" spans="1:11" s="41" customFormat="1" ht="12">
      <c r="A23" s="130" t="s">
        <v>425</v>
      </c>
      <c r="B23" s="110" t="s">
        <v>286</v>
      </c>
      <c r="C23" s="51">
        <f t="shared" si="2"/>
        <v>0</v>
      </c>
      <c r="D23" s="47">
        <f>+'1.mell._Össz_Mérleg2014'!D84</f>
        <v>0</v>
      </c>
      <c r="E23" s="40">
        <f>+'1.mell._Össz_Mérleg2014'!E84</f>
        <v>0</v>
      </c>
      <c r="F23" s="43">
        <f>+'1.mell._Össz_Mérleg2014'!F84</f>
        <v>0</v>
      </c>
      <c r="G23" s="110" t="s">
        <v>210</v>
      </c>
      <c r="H23" s="51">
        <f t="shared" si="3"/>
        <v>0</v>
      </c>
      <c r="I23" s="47">
        <f>+'1.mell._Össz_Mérleg2014'!D184</f>
        <v>0</v>
      </c>
      <c r="J23" s="40">
        <f>+'1.mell._Össz_Mérleg2014'!E184</f>
        <v>0</v>
      </c>
      <c r="K23" s="43">
        <f>+'1.mell._Össz_Mérleg2014'!F184</f>
        <v>0</v>
      </c>
    </row>
    <row r="24" spans="1:11" s="41" customFormat="1" ht="12">
      <c r="A24" s="130" t="s">
        <v>426</v>
      </c>
      <c r="B24" s="110" t="s">
        <v>287</v>
      </c>
      <c r="C24" s="51">
        <f t="shared" si="2"/>
        <v>0</v>
      </c>
      <c r="D24" s="47">
        <f>+'1.mell._Össz_Mérleg2014'!D85</f>
        <v>0</v>
      </c>
      <c r="E24" s="40">
        <f>+'1.mell._Össz_Mérleg2014'!E85</f>
        <v>0</v>
      </c>
      <c r="F24" s="43">
        <f>+'1.mell._Össz_Mérleg2014'!F85</f>
        <v>0</v>
      </c>
      <c r="G24" s="110" t="s">
        <v>211</v>
      </c>
      <c r="H24" s="51">
        <f t="shared" si="3"/>
        <v>0</v>
      </c>
      <c r="I24" s="47">
        <f>+'1.mell._Össz_Mérleg2014'!D185</f>
        <v>0</v>
      </c>
      <c r="J24" s="40">
        <f>+'1.mell._Össz_Mérleg2014'!E185</f>
        <v>0</v>
      </c>
      <c r="K24" s="43">
        <f>+'1.mell._Össz_Mérleg2014'!F185</f>
        <v>0</v>
      </c>
    </row>
    <row r="25" spans="1:11" s="41" customFormat="1" ht="12">
      <c r="A25" s="130" t="s">
        <v>427</v>
      </c>
      <c r="B25" s="110" t="s">
        <v>288</v>
      </c>
      <c r="C25" s="51">
        <f t="shared" si="2"/>
        <v>0</v>
      </c>
      <c r="D25" s="47">
        <f>+'1.mell._Össz_Mérleg2014'!D86</f>
        <v>0</v>
      </c>
      <c r="E25" s="40">
        <f>+'1.mell._Össz_Mérleg2014'!E86</f>
        <v>0</v>
      </c>
      <c r="F25" s="43">
        <f>+'1.mell._Össz_Mérleg2014'!F86</f>
        <v>0</v>
      </c>
      <c r="G25" s="110" t="s">
        <v>212</v>
      </c>
      <c r="H25" s="51">
        <f t="shared" si="3"/>
        <v>0</v>
      </c>
      <c r="I25" s="47">
        <f>+'1.mell._Össz_Mérleg2014'!D186</f>
        <v>0</v>
      </c>
      <c r="J25" s="40">
        <f>+'1.mell._Össz_Mérleg2014'!E186</f>
        <v>0</v>
      </c>
      <c r="K25" s="43">
        <f>+'1.mell._Össz_Mérleg2014'!F186</f>
        <v>0</v>
      </c>
    </row>
    <row r="26" spans="1:11" s="41" customFormat="1" ht="12">
      <c r="A26" s="130" t="s">
        <v>428</v>
      </c>
      <c r="B26" s="110" t="s">
        <v>289</v>
      </c>
      <c r="C26" s="51">
        <f t="shared" si="2"/>
        <v>0</v>
      </c>
      <c r="D26" s="47">
        <f>+'1.mell._Össz_Mérleg2014'!D87</f>
        <v>0</v>
      </c>
      <c r="E26" s="40">
        <f>+'1.mell._Össz_Mérleg2014'!E87</f>
        <v>0</v>
      </c>
      <c r="F26" s="43">
        <f>+'1.mell._Össz_Mérleg2014'!F87</f>
        <v>0</v>
      </c>
      <c r="G26" s="110" t="s">
        <v>217</v>
      </c>
      <c r="H26" s="51">
        <f t="shared" si="3"/>
        <v>0</v>
      </c>
      <c r="I26" s="47">
        <f>+'1.mell._Össz_Mérleg2014'!D187</f>
        <v>0</v>
      </c>
      <c r="J26" s="40">
        <f>+'1.mell._Össz_Mérleg2014'!E187</f>
        <v>0</v>
      </c>
      <c r="K26" s="43">
        <f>+'1.mell._Össz_Mérleg2014'!F187</f>
        <v>0</v>
      </c>
    </row>
    <row r="27" spans="1:11" s="41" customFormat="1" ht="12">
      <c r="A27" s="130" t="s">
        <v>429</v>
      </c>
      <c r="B27" s="110" t="s">
        <v>290</v>
      </c>
      <c r="C27" s="51">
        <f t="shared" si="2"/>
        <v>0</v>
      </c>
      <c r="D27" s="47">
        <f>+'1.mell._Össz_Mérleg2014'!D88</f>
        <v>0</v>
      </c>
      <c r="E27" s="40">
        <f>+'1.mell._Össz_Mérleg2014'!E88</f>
        <v>0</v>
      </c>
      <c r="F27" s="43">
        <f>+'1.mell._Össz_Mérleg2014'!F88</f>
        <v>0</v>
      </c>
      <c r="G27" s="110" t="s">
        <v>213</v>
      </c>
      <c r="H27" s="51">
        <f t="shared" si="3"/>
        <v>0</v>
      </c>
      <c r="I27" s="47">
        <f>+'1.mell._Össz_Mérleg2014'!D188</f>
        <v>0</v>
      </c>
      <c r="J27" s="40">
        <f>+'1.mell._Össz_Mérleg2014'!E188</f>
        <v>0</v>
      </c>
      <c r="K27" s="43">
        <f>+'1.mell._Össz_Mérleg2014'!F188</f>
        <v>0</v>
      </c>
    </row>
    <row r="28" spans="1:11" ht="12">
      <c r="A28" s="130" t="s">
        <v>430</v>
      </c>
      <c r="B28" s="110" t="s">
        <v>283</v>
      </c>
      <c r="C28" s="51">
        <f t="shared" si="2"/>
        <v>0</v>
      </c>
      <c r="D28" s="47">
        <f>+'1.mell._Össz_Mérleg2014'!D89</f>
        <v>0</v>
      </c>
      <c r="E28" s="40">
        <f>+'1.mell._Össz_Mérleg2014'!E89</f>
        <v>0</v>
      </c>
      <c r="F28" s="43">
        <f>+'1.mell._Össz_Mérleg2014'!F89</f>
        <v>0</v>
      </c>
      <c r="G28" s="110" t="s">
        <v>214</v>
      </c>
      <c r="H28" s="51">
        <f t="shared" si="3"/>
        <v>0</v>
      </c>
      <c r="I28" s="47">
        <f>+'1.mell._Össz_Mérleg2014'!D189</f>
        <v>0</v>
      </c>
      <c r="J28" s="40">
        <f>+'1.mell._Össz_Mérleg2014'!E189</f>
        <v>0</v>
      </c>
      <c r="K28" s="43">
        <f>+'1.mell._Össz_Mérleg2014'!F189</f>
        <v>0</v>
      </c>
    </row>
    <row r="29" spans="1:11" ht="12">
      <c r="A29" s="129" t="s">
        <v>95</v>
      </c>
      <c r="B29" s="111" t="s">
        <v>281</v>
      </c>
      <c r="C29" s="50">
        <f t="shared" si="2"/>
        <v>0</v>
      </c>
      <c r="D29" s="48">
        <f>+'1.mell._Össz_Mérleg2014'!D90</f>
        <v>0</v>
      </c>
      <c r="E29" s="39">
        <f>+'1.mell._Össz_Mérleg2014'!E90</f>
        <v>0</v>
      </c>
      <c r="F29" s="44">
        <f>+'1.mell._Össz_Mérleg2014'!F90</f>
        <v>0</v>
      </c>
      <c r="G29" s="111" t="s">
        <v>215</v>
      </c>
      <c r="H29" s="50">
        <f t="shared" si="3"/>
        <v>0</v>
      </c>
      <c r="I29" s="48">
        <f>+'1.mell._Össz_Mérleg2014'!D190</f>
        <v>0</v>
      </c>
      <c r="J29" s="39">
        <f>+'1.mell._Össz_Mérleg2014'!E190</f>
        <v>0</v>
      </c>
      <c r="K29" s="44">
        <f>+'1.mell._Össz_Mérleg2014'!F190</f>
        <v>0</v>
      </c>
    </row>
    <row r="30" spans="1:11" s="29" customFormat="1" ht="12.75" thickBot="1">
      <c r="A30" s="122" t="s">
        <v>96</v>
      </c>
      <c r="B30" s="112" t="s">
        <v>282</v>
      </c>
      <c r="C30" s="53">
        <f t="shared" si="2"/>
        <v>0</v>
      </c>
      <c r="D30" s="54">
        <f>+'1.mell._Össz_Mérleg2014'!D91</f>
        <v>0</v>
      </c>
      <c r="E30" s="55">
        <f>+'1.mell._Össz_Mérleg2014'!E91</f>
        <v>0</v>
      </c>
      <c r="F30" s="56">
        <f>+'1.mell._Össz_Mérleg2014'!F91</f>
        <v>0</v>
      </c>
      <c r="G30" s="112" t="s">
        <v>216</v>
      </c>
      <c r="H30" s="53">
        <f t="shared" si="3"/>
        <v>0</v>
      </c>
      <c r="I30" s="54">
        <f>+'1.mell._Össz_Mérleg2014'!D191</f>
        <v>0</v>
      </c>
      <c r="J30" s="55">
        <f>+'1.mell._Össz_Mérleg2014'!E191</f>
        <v>0</v>
      </c>
      <c r="K30" s="56">
        <f>+'1.mell._Össz_Mérleg2014'!F191</f>
        <v>0</v>
      </c>
    </row>
    <row r="31" spans="1:11" s="29" customFormat="1" ht="12.75" thickBot="1">
      <c r="A31" s="125" t="s">
        <v>12</v>
      </c>
      <c r="B31" s="200" t="s">
        <v>460</v>
      </c>
      <c r="C31" s="70">
        <f>+C8+C18</f>
        <v>26356</v>
      </c>
      <c r="D31" s="199">
        <f>+D8+D18</f>
        <v>23356</v>
      </c>
      <c r="E31" s="198">
        <f>+E8+E18</f>
        <v>3000</v>
      </c>
      <c r="F31" s="197">
        <f>+F8+F18</f>
        <v>0</v>
      </c>
      <c r="G31" s="184" t="s">
        <v>464</v>
      </c>
      <c r="H31" s="71">
        <f>+H8+H18</f>
        <v>111779</v>
      </c>
      <c r="I31" s="60">
        <f>+I8+I18</f>
        <v>111779</v>
      </c>
      <c r="J31" s="61">
        <f>+J8+J18</f>
        <v>0</v>
      </c>
      <c r="K31" s="62">
        <f>+K8+K18</f>
        <v>0</v>
      </c>
    </row>
    <row r="32" spans="1:11" s="29" customFormat="1" ht="12.75" thickBot="1">
      <c r="A32" s="127" t="s">
        <v>11</v>
      </c>
      <c r="B32" s="113" t="s">
        <v>478</v>
      </c>
      <c r="C32" s="207">
        <f>IF(((H8-C8)&gt;0),H8-C8,"----")</f>
        <v>85423</v>
      </c>
      <c r="D32" s="206">
        <f>IF(((I8-D8)&gt;0),I8-D8,"----")</f>
        <v>88423</v>
      </c>
      <c r="E32" s="205" t="str">
        <f>IF(((J8-E8)&gt;0),J8-E8,"----")</f>
        <v>----</v>
      </c>
      <c r="F32" s="204" t="str">
        <f>IF(((K8-F8)&gt;0),K8-F8,"----")</f>
        <v>----</v>
      </c>
      <c r="G32" s="113" t="s">
        <v>463</v>
      </c>
      <c r="H32" s="207" t="str">
        <f>IF(((C8-H8)&gt;0),C8-H8,"----")</f>
        <v>----</v>
      </c>
      <c r="I32" s="206" t="str">
        <f>IF(((D8-I8)&gt;0),D8-I8,"----")</f>
        <v>----</v>
      </c>
      <c r="J32" s="205">
        <f>IF(((E8-J8)&gt;0),E8-J8,"----")</f>
        <v>3000</v>
      </c>
      <c r="K32" s="204" t="str">
        <f>IF(((F8-K8)&gt;0),F8-K8,"----")</f>
        <v>----</v>
      </c>
    </row>
    <row r="33" spans="1:11" s="29" customFormat="1" ht="12.75" thickBot="1">
      <c r="A33" s="127" t="s">
        <v>10</v>
      </c>
      <c r="B33" s="113" t="s">
        <v>461</v>
      </c>
      <c r="C33" s="207" t="str">
        <f>IF(((H18-C18)&gt;0),H18-C18,"----")</f>
        <v>----</v>
      </c>
      <c r="D33" s="206" t="str">
        <f>IF(((I18-D18)&gt;0),I18-D18,"----")</f>
        <v>----</v>
      </c>
      <c r="E33" s="205" t="str">
        <f>IF(((J18-E18)&gt;0),J18-E18,"----")</f>
        <v>----</v>
      </c>
      <c r="F33" s="204" t="str">
        <f>IF(((K18-F18)&gt;0),K18-F18,"----")</f>
        <v>----</v>
      </c>
      <c r="G33" s="113" t="s">
        <v>462</v>
      </c>
      <c r="H33" s="207" t="str">
        <f>IF(((C18-H18)&gt;0),C18-H18,"----")</f>
        <v>----</v>
      </c>
      <c r="I33" s="206" t="str">
        <f>IF(((D18-I18)&gt;0),D18-I18,"----")</f>
        <v>----</v>
      </c>
      <c r="J33" s="205" t="str">
        <f>IF(((E18-J18)&gt;0),E18-J18,"----")</f>
        <v>----</v>
      </c>
      <c r="K33" s="204" t="str">
        <f>IF(((F18-K18)&gt;0),F18-K18,"----")</f>
        <v>----</v>
      </c>
    </row>
    <row r="35" spans="3:11" ht="12" hidden="1">
      <c r="C35" s="30">
        <f>+C31+'2.a.mell._MMérleg2014'!C31</f>
        <v>1686903</v>
      </c>
      <c r="D35" s="30">
        <f>+D31+'2.a.mell._MMérleg2014'!D31</f>
        <v>1652539</v>
      </c>
      <c r="E35" s="30">
        <f>+E31+'2.a.mell._MMérleg2014'!E31</f>
        <v>34364</v>
      </c>
      <c r="F35" s="30">
        <f>+F31+'2.a.mell._MMérleg2014'!F31</f>
        <v>0</v>
      </c>
      <c r="H35" s="30">
        <f>+H31+'2.a.mell._MMérleg2014'!H31</f>
        <v>1686903</v>
      </c>
      <c r="I35" s="30">
        <f>+I31+'2.a.mell._MMérleg2014'!I31</f>
        <v>1650939</v>
      </c>
      <c r="J35" s="30">
        <f>+J31+'2.a.mell._MMérleg2014'!J31</f>
        <v>35964</v>
      </c>
      <c r="K35" s="30">
        <f>+K31+'2.a.mell._MMérleg2014'!K31</f>
        <v>0</v>
      </c>
    </row>
    <row r="36" spans="3:11" ht="12" hidden="1">
      <c r="C36" s="30">
        <f>+'1.mell._Össz_Mérleg2014'!C93</f>
        <v>1686903</v>
      </c>
      <c r="D36" s="30">
        <f>+'1.mell._Össz_Mérleg2014'!D93</f>
        <v>1652539</v>
      </c>
      <c r="E36" s="30">
        <f>+'1.mell._Össz_Mérleg2014'!E93</f>
        <v>34364</v>
      </c>
      <c r="F36" s="30">
        <f>+'1.mell._Össz_Mérleg2014'!F93</f>
        <v>0</v>
      </c>
      <c r="H36" s="30">
        <f>+'1.mell._Össz_Mérleg2014'!C193</f>
        <v>1686903</v>
      </c>
      <c r="I36" s="30">
        <f>+'1.mell._Össz_Mérleg2014'!D193</f>
        <v>1650939</v>
      </c>
      <c r="J36" s="30">
        <f>+'1.mell._Össz_Mérleg2014'!E193</f>
        <v>35964</v>
      </c>
      <c r="K36" s="30">
        <f>+'1.mell._Össz_Mérleg2014'!F193</f>
        <v>0</v>
      </c>
    </row>
    <row r="37" spans="3:11" ht="12" hidden="1">
      <c r="C37" s="30">
        <f>+C35-C36</f>
        <v>0</v>
      </c>
      <c r="D37" s="30">
        <f>+D35-D36</f>
        <v>0</v>
      </c>
      <c r="E37" s="30">
        <f>+E35-E36</f>
        <v>0</v>
      </c>
      <c r="F37" s="30">
        <f>+F35-F36</f>
        <v>0</v>
      </c>
      <c r="H37" s="30">
        <f>+H35-H36</f>
        <v>0</v>
      </c>
      <c r="I37" s="30">
        <f>+I35-I36</f>
        <v>0</v>
      </c>
      <c r="J37" s="30">
        <f>+J35-J36</f>
        <v>0</v>
      </c>
      <c r="K37" s="30">
        <f>+K35-K36</f>
        <v>0</v>
      </c>
    </row>
  </sheetData>
  <sheetProtection/>
  <mergeCells count="4">
    <mergeCell ref="A3:K3"/>
    <mergeCell ref="A4:K4"/>
    <mergeCell ref="C7:F7"/>
    <mergeCell ref="H7:K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3" r:id="rId1"/>
  <headerFooter>
    <oddHeader>&amp;C 2.b. melléklet - &amp;P. oldal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Gábor Ecsegi</dc:creator>
  <cp:keywords/>
  <dc:description/>
  <cp:lastModifiedBy>kata</cp:lastModifiedBy>
  <cp:lastPrinted>2014-02-27T13:25:42Z</cp:lastPrinted>
  <dcterms:created xsi:type="dcterms:W3CDTF">1998-12-06T10:54:59Z</dcterms:created>
  <dcterms:modified xsi:type="dcterms:W3CDTF">2014-02-28T10:57:37Z</dcterms:modified>
  <cp:category/>
  <cp:version/>
  <cp:contentType/>
  <cp:contentStatus/>
</cp:coreProperties>
</file>