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6360" windowWidth="28860" windowHeight="6420" tabRatio="764"/>
  </bookViews>
  <sheets>
    <sheet name="II.fordulóra" sheetId="117" r:id="rId1"/>
    <sheet name="Tartalomjegyzék" sheetId="98" r:id="rId2"/>
    <sheet name="1.mell._Össz_Mérleg2019" sheetId="61" r:id="rId3"/>
    <sheet name="1.1.mell._ÖNK_Mérleg2019" sheetId="64" r:id="rId4"/>
    <sheet name="1.2.mell._HKÖH_Mérleg2019" sheetId="65" r:id="rId5"/>
    <sheet name="1.3.mell._HVÓBKI_Mérleg2019" sheetId="66" r:id="rId6"/>
    <sheet name="1.4.mell._HKK_Mérleg2019" sheetId="67" r:id="rId7"/>
    <sheet name="1.5._mell._MŐSZ_Mérleg2019" sheetId="97" r:id="rId8"/>
    <sheet name="1.6._mell._HVGYKCSSZ_Mérleg2019" sheetId="109" r:id="rId9"/>
    <sheet name="2.a.mell._MMérleg2019" sheetId="68" r:id="rId10"/>
    <sheet name="2.b.mell._FMérleg2019" sheetId="69" r:id="rId11"/>
    <sheet name="3. mell._létszám2019" sheetId="70" r:id="rId12"/>
    <sheet name="4. mell. EUprojektek2019" sheetId="116" r:id="rId13"/>
    <sheet name="5.mell_adósság2019" sheetId="72" r:id="rId14"/>
    <sheet name="6.mell_Többévesköt.2019" sheetId="73" r:id="rId15"/>
    <sheet name="7. mell_KözvetettTám2019" sheetId="74" r:id="rId16"/>
    <sheet name="8.mell_EIfelhterv2019" sheetId="75" r:id="rId17"/>
    <sheet name="9.mell_ÖsszMérleg(telj)2019" sheetId="76" r:id="rId18"/>
    <sheet name="10.mell_támogatások2019" sheetId="77" r:id="rId19"/>
    <sheet name="11.mell_felhKiad2019" sheetId="78" r:id="rId20"/>
    <sheet name="12.mell_céltámogatások2019" sheetId="79" r:id="rId21"/>
    <sheet name="13.mell_ÖNKfeladatok2019" sheetId="84" r:id="rId22"/>
    <sheet name="14.mell_Önk kiegészítés2019" sheetId="85" r:id="rId23"/>
    <sheet name="15.mell_Tartozások2019" sheetId="88" r:id="rId24"/>
    <sheet name="16.mell_Étkezésdíj2019" sheetId="89" r:id="rId25"/>
    <sheet name="1.függVárosüzem2019" sheetId="91" r:id="rId26"/>
    <sheet name="2.függ_adósság2019 (határozat)" sheetId="90" r:id="rId27"/>
  </sheets>
  <externalReferences>
    <externalReference r:id="rId28"/>
    <externalReference r:id="rId29"/>
  </externalReferences>
  <definedNames>
    <definedName name="kst" localSheetId="0">#REF!</definedName>
    <definedName name="kst">#REF!</definedName>
    <definedName name="nev">[1]kod!$CD$8:$CD$3150</definedName>
    <definedName name="_xlnm.Print_Titles" localSheetId="18">'10.mell_támogatások2019'!$6:$7</definedName>
    <definedName name="_xlnm.Print_Titles" localSheetId="21">'13.mell_ÖNKfeladatok2019'!$A:$F,'13.mell_ÖNKfeladatok2019'!$165:$167</definedName>
    <definedName name="_xlnm.Print_Titles" localSheetId="22">'14.mell_Önk kiegészítés2019'!$B:$B</definedName>
    <definedName name="_xlnm.Print_Titles" localSheetId="0">II.fordulóra!$5:$7</definedName>
    <definedName name="_xlnm.Print_Area" localSheetId="3">'1.1.mell._ÖNK_Mérleg2019'!$A$1:$F$242</definedName>
    <definedName name="_xlnm.Print_Area" localSheetId="4">'1.2.mell._HKÖH_Mérleg2019'!$A$1:$F$242</definedName>
    <definedName name="_xlnm.Print_Area" localSheetId="5">'1.3.mell._HVÓBKI_Mérleg2019'!$A$1:$F$242</definedName>
    <definedName name="_xlnm.Print_Area" localSheetId="6">'1.4.mell._HKK_Mérleg2019'!$A$1:$F$242</definedName>
    <definedName name="_xlnm.Print_Area" localSheetId="7">'1.5._mell._MŐSZ_Mérleg2019'!$A$1:$F$242</definedName>
    <definedName name="_xlnm.Print_Area" localSheetId="8">'1.6._mell._HVGYKCSSZ_Mérleg2019'!$A$1:$F$242</definedName>
    <definedName name="_xlnm.Print_Area" localSheetId="25">'1.függVárosüzem2019'!$A$1:$F$132</definedName>
    <definedName name="_xlnm.Print_Area" localSheetId="2">'1.mell._Össz_Mérleg2019'!$A$1:$F$242</definedName>
    <definedName name="_xlnm.Print_Area" localSheetId="18">'10.mell_támogatások2019'!$A$1:$D$136</definedName>
    <definedName name="_xlnm.Print_Area" localSheetId="19">'11.mell_felhKiad2019'!$A$1:$G$93</definedName>
    <definedName name="_xlnm.Print_Area" localSheetId="20">'12.mell_céltámogatások2019'!$A$1:$D$33</definedName>
    <definedName name="_xlnm.Print_Area" localSheetId="21">'13.mell_ÖNKfeladatok2019'!$A$1:$Q$319</definedName>
    <definedName name="_xlnm.Print_Area" localSheetId="22">'14.mell_Önk kiegészítés2019'!$A$1:$V$72</definedName>
    <definedName name="_xlnm.Print_Area" localSheetId="24">'16.mell_Étkezésdíj2019'!$A$1:$F$23</definedName>
    <definedName name="_xlnm.Print_Area" localSheetId="9">'2.a.mell._MMérleg2019'!$A$1:$K$35</definedName>
    <definedName name="_xlnm.Print_Area" localSheetId="10">'2.b.mell._FMérleg2019'!$A$1:$K$35</definedName>
    <definedName name="_xlnm.Print_Area" localSheetId="26">'2.függ_adósság2019 (határozat)'!$A$1:$F$38</definedName>
    <definedName name="_xlnm.Print_Area" localSheetId="11">'3. mell._létszám2019'!$A$1:$F$79</definedName>
    <definedName name="_xlnm.Print_Area" localSheetId="12">'4. mell. EUprojektek2019'!$A$1:$O$337</definedName>
    <definedName name="_xlnm.Print_Area" localSheetId="15">'7. mell_KözvetettTám2019'!$A$1:$D$25</definedName>
    <definedName name="_xlnm.Print_Area" localSheetId="16">'8.mell_EIfelhterv2019'!$A$1:$P$30</definedName>
    <definedName name="_xlnm.Print_Area" localSheetId="17">'9.mell_ÖsszMérleg(telj)2019'!$A$1:$E$242</definedName>
    <definedName name="_xlnm.Print_Area" localSheetId="0">II.fordulóra!$A$1:$AE$208</definedName>
    <definedName name="onev">[2]kod!$BT$34:$BT$3184</definedName>
  </definedNames>
  <calcPr calcId="125725"/>
</workbook>
</file>

<file path=xl/calcChain.xml><?xml version="1.0" encoding="utf-8"?>
<calcChain xmlns="http://schemas.openxmlformats.org/spreadsheetml/2006/main">
  <c r="H132" i="91"/>
  <c r="I132" s="1"/>
  <c r="F100"/>
  <c r="O7" i="75"/>
  <c r="I7"/>
  <c r="N7"/>
  <c r="M7"/>
  <c r="L7"/>
  <c r="K7"/>
  <c r="J7"/>
  <c r="F7"/>
  <c r="G7"/>
  <c r="H7"/>
  <c r="E7"/>
  <c r="D7"/>
  <c r="O9"/>
  <c r="O22"/>
  <c r="O20"/>
  <c r="O21"/>
  <c r="O19"/>
  <c r="O18"/>
  <c r="O12"/>
  <c r="O11"/>
  <c r="O23"/>
  <c r="O8"/>
  <c r="L8"/>
  <c r="J8"/>
  <c r="H8"/>
  <c r="F8"/>
  <c r="F126" i="91"/>
  <c r="F122"/>
  <c r="F120"/>
  <c r="F108"/>
  <c r="F55"/>
  <c r="F53"/>
  <c r="F22"/>
  <c r="F12"/>
  <c r="D8" i="79"/>
  <c r="E47" i="78"/>
  <c r="B47"/>
  <c r="E34"/>
  <c r="B34"/>
  <c r="L19"/>
  <c r="M19" s="1"/>
  <c r="G19"/>
  <c r="E30"/>
  <c r="B30"/>
  <c r="B26"/>
  <c r="E26"/>
  <c r="E17"/>
  <c r="B17"/>
  <c r="B15"/>
  <c r="F15"/>
  <c r="E14"/>
  <c r="B14"/>
  <c r="B13"/>
  <c r="E13"/>
  <c r="D96" i="77"/>
  <c r="E34" i="73"/>
  <c r="E28"/>
  <c r="C173" i="116"/>
  <c r="C248"/>
  <c r="I39" i="73"/>
  <c r="I27" l="1"/>
  <c r="I26"/>
  <c r="I25"/>
  <c r="I24"/>
  <c r="I23"/>
  <c r="I22"/>
  <c r="I21"/>
  <c r="I20"/>
  <c r="I19"/>
  <c r="I18"/>
  <c r="I17"/>
  <c r="Q326" i="116"/>
  <c r="Q325"/>
  <c r="Q324"/>
  <c r="Q323"/>
  <c r="Q322"/>
  <c r="Q321"/>
  <c r="Q320"/>
  <c r="Q319"/>
  <c r="Q315"/>
  <c r="Q314"/>
  <c r="Q313"/>
  <c r="Q312"/>
  <c r="Q311"/>
  <c r="N252"/>
  <c r="M252"/>
  <c r="L252"/>
  <c r="K252"/>
  <c r="K235" s="1"/>
  <c r="K241" s="1"/>
  <c r="J252"/>
  <c r="F252"/>
  <c r="E252"/>
  <c r="E235" s="1"/>
  <c r="E241" s="1"/>
  <c r="D252"/>
  <c r="D235" s="1"/>
  <c r="D241" s="1"/>
  <c r="C252"/>
  <c r="C235" s="1"/>
  <c r="C241" s="1"/>
  <c r="B252"/>
  <c r="O251"/>
  <c r="G251"/>
  <c r="O250"/>
  <c r="G250"/>
  <c r="O249"/>
  <c r="G249"/>
  <c r="O248"/>
  <c r="G248"/>
  <c r="O247"/>
  <c r="G247"/>
  <c r="O246"/>
  <c r="G246"/>
  <c r="O245"/>
  <c r="G245"/>
  <c r="O244"/>
  <c r="G244"/>
  <c r="O240"/>
  <c r="G240"/>
  <c r="O239"/>
  <c r="G239"/>
  <c r="O238"/>
  <c r="G238"/>
  <c r="O237"/>
  <c r="G237"/>
  <c r="O236"/>
  <c r="G236"/>
  <c r="N235"/>
  <c r="N241" s="1"/>
  <c r="M235"/>
  <c r="M241" s="1"/>
  <c r="L235"/>
  <c r="L241" s="1"/>
  <c r="J235"/>
  <c r="J241" s="1"/>
  <c r="F235"/>
  <c r="F241" s="1"/>
  <c r="B235"/>
  <c r="B241" s="1"/>
  <c r="N277"/>
  <c r="M277"/>
  <c r="L277"/>
  <c r="K277"/>
  <c r="K260" s="1"/>
  <c r="K266" s="1"/>
  <c r="J277"/>
  <c r="F277"/>
  <c r="E277"/>
  <c r="E260" s="1"/>
  <c r="E266" s="1"/>
  <c r="D277"/>
  <c r="D260" s="1"/>
  <c r="D266" s="1"/>
  <c r="C277"/>
  <c r="C260" s="1"/>
  <c r="C266" s="1"/>
  <c r="B277"/>
  <c r="O276"/>
  <c r="G276"/>
  <c r="O275"/>
  <c r="G275"/>
  <c r="O274"/>
  <c r="G274"/>
  <c r="O273"/>
  <c r="G273"/>
  <c r="O272"/>
  <c r="G272"/>
  <c r="O271"/>
  <c r="G271"/>
  <c r="O270"/>
  <c r="G270"/>
  <c r="O269"/>
  <c r="G269"/>
  <c r="O265"/>
  <c r="G265"/>
  <c r="O264"/>
  <c r="G264"/>
  <c r="O263"/>
  <c r="G263"/>
  <c r="O262"/>
  <c r="G262"/>
  <c r="O261"/>
  <c r="G261"/>
  <c r="N260"/>
  <c r="N266" s="1"/>
  <c r="M260"/>
  <c r="M266" s="1"/>
  <c r="L260"/>
  <c r="L266" s="1"/>
  <c r="J260"/>
  <c r="J266" s="1"/>
  <c r="F260"/>
  <c r="F266" s="1"/>
  <c r="B260"/>
  <c r="B266" s="1"/>
  <c r="N177"/>
  <c r="N160" s="1"/>
  <c r="N166" s="1"/>
  <c r="M177"/>
  <c r="L177"/>
  <c r="K177"/>
  <c r="K160" s="1"/>
  <c r="K166" s="1"/>
  <c r="J177"/>
  <c r="J160" s="1"/>
  <c r="J166" s="1"/>
  <c r="F177"/>
  <c r="E177"/>
  <c r="E160" s="1"/>
  <c r="E166" s="1"/>
  <c r="D177"/>
  <c r="D160" s="1"/>
  <c r="D166" s="1"/>
  <c r="C177"/>
  <c r="B177"/>
  <c r="O176"/>
  <c r="G176"/>
  <c r="O175"/>
  <c r="G175"/>
  <c r="O174"/>
  <c r="G174"/>
  <c r="O173"/>
  <c r="G173"/>
  <c r="O172"/>
  <c r="G172"/>
  <c r="O171"/>
  <c r="G171"/>
  <c r="O170"/>
  <c r="G170"/>
  <c r="O169"/>
  <c r="G169"/>
  <c r="O165"/>
  <c r="G165"/>
  <c r="O164"/>
  <c r="G164"/>
  <c r="O163"/>
  <c r="G163"/>
  <c r="O162"/>
  <c r="G162"/>
  <c r="O161"/>
  <c r="G161"/>
  <c r="M160"/>
  <c r="M166" s="1"/>
  <c r="L160"/>
  <c r="L166" s="1"/>
  <c r="F160"/>
  <c r="F166" s="1"/>
  <c r="C160"/>
  <c r="C166" s="1"/>
  <c r="B160"/>
  <c r="B166" s="1"/>
  <c r="N202"/>
  <c r="M202"/>
  <c r="L202"/>
  <c r="K202"/>
  <c r="K185" s="1"/>
  <c r="K191" s="1"/>
  <c r="J202"/>
  <c r="F202"/>
  <c r="E202"/>
  <c r="E185" s="1"/>
  <c r="E191" s="1"/>
  <c r="D202"/>
  <c r="D185" s="1"/>
  <c r="D191" s="1"/>
  <c r="C202"/>
  <c r="B202"/>
  <c r="O201"/>
  <c r="G201"/>
  <c r="O200"/>
  <c r="G200"/>
  <c r="O199"/>
  <c r="G199"/>
  <c r="O198"/>
  <c r="G198"/>
  <c r="O197"/>
  <c r="G197"/>
  <c r="O196"/>
  <c r="G196"/>
  <c r="O195"/>
  <c r="O202" s="1"/>
  <c r="O185" s="1"/>
  <c r="O191" s="1"/>
  <c r="G195"/>
  <c r="O194"/>
  <c r="G194"/>
  <c r="O190"/>
  <c r="G190"/>
  <c r="O189"/>
  <c r="G189"/>
  <c r="O188"/>
  <c r="G188"/>
  <c r="O187"/>
  <c r="G187"/>
  <c r="O186"/>
  <c r="G186"/>
  <c r="N185"/>
  <c r="N191" s="1"/>
  <c r="M185"/>
  <c r="M191" s="1"/>
  <c r="L185"/>
  <c r="L191" s="1"/>
  <c r="J185"/>
  <c r="J191" s="1"/>
  <c r="F185"/>
  <c r="F191" s="1"/>
  <c r="C185"/>
  <c r="C191" s="1"/>
  <c r="B185"/>
  <c r="B191" s="1"/>
  <c r="N227"/>
  <c r="M227"/>
  <c r="L227"/>
  <c r="L210" s="1"/>
  <c r="L216" s="1"/>
  <c r="K227"/>
  <c r="K210" s="1"/>
  <c r="K216" s="1"/>
  <c r="J227"/>
  <c r="F227"/>
  <c r="E227"/>
  <c r="E210" s="1"/>
  <c r="E216" s="1"/>
  <c r="D227"/>
  <c r="D210" s="1"/>
  <c r="D216" s="1"/>
  <c r="C227"/>
  <c r="B227"/>
  <c r="O226"/>
  <c r="G226"/>
  <c r="O225"/>
  <c r="G225"/>
  <c r="O224"/>
  <c r="G224"/>
  <c r="O223"/>
  <c r="G223"/>
  <c r="O222"/>
  <c r="G222"/>
  <c r="O221"/>
  <c r="G221"/>
  <c r="O220"/>
  <c r="O227" s="1"/>
  <c r="O210" s="1"/>
  <c r="O216" s="1"/>
  <c r="G220"/>
  <c r="O219"/>
  <c r="G219"/>
  <c r="N216"/>
  <c r="O215"/>
  <c r="G215"/>
  <c r="O214"/>
  <c r="G214"/>
  <c r="O213"/>
  <c r="G213"/>
  <c r="O212"/>
  <c r="G212"/>
  <c r="O211"/>
  <c r="G211"/>
  <c r="N210"/>
  <c r="M210"/>
  <c r="M216" s="1"/>
  <c r="J210"/>
  <c r="J216" s="1"/>
  <c r="F210"/>
  <c r="F216" s="1"/>
  <c r="C210"/>
  <c r="C216" s="1"/>
  <c r="B210"/>
  <c r="B216" s="1"/>
  <c r="N302"/>
  <c r="M302"/>
  <c r="L302"/>
  <c r="K302"/>
  <c r="K285" s="1"/>
  <c r="K291" s="1"/>
  <c r="J302"/>
  <c r="F302"/>
  <c r="E302"/>
  <c r="E285" s="1"/>
  <c r="E291" s="1"/>
  <c r="D302"/>
  <c r="D285" s="1"/>
  <c r="D291" s="1"/>
  <c r="C302"/>
  <c r="C285" s="1"/>
  <c r="C291" s="1"/>
  <c r="B302"/>
  <c r="O301"/>
  <c r="G301"/>
  <c r="O300"/>
  <c r="G300"/>
  <c r="O299"/>
  <c r="G299"/>
  <c r="O298"/>
  <c r="G298"/>
  <c r="O297"/>
  <c r="G297"/>
  <c r="O296"/>
  <c r="G296"/>
  <c r="O295"/>
  <c r="G295"/>
  <c r="O294"/>
  <c r="G294"/>
  <c r="O290"/>
  <c r="G290"/>
  <c r="O289"/>
  <c r="G289"/>
  <c r="O288"/>
  <c r="G288"/>
  <c r="O287"/>
  <c r="G287"/>
  <c r="O286"/>
  <c r="G286"/>
  <c r="N285"/>
  <c r="N291" s="1"/>
  <c r="M285"/>
  <c r="M291" s="1"/>
  <c r="L285"/>
  <c r="L291" s="1"/>
  <c r="J285"/>
  <c r="J291" s="1"/>
  <c r="F285"/>
  <c r="F291" s="1"/>
  <c r="B285"/>
  <c r="B291" s="1"/>
  <c r="S322"/>
  <c r="U315"/>
  <c r="U312"/>
  <c r="V312"/>
  <c r="W313" s="1"/>
  <c r="G302" l="1"/>
  <c r="G285" s="1"/>
  <c r="G291" s="1"/>
  <c r="G177"/>
  <c r="G160" s="1"/>
  <c r="G166" s="1"/>
  <c r="G277"/>
  <c r="G260" s="1"/>
  <c r="G266" s="1"/>
  <c r="G252"/>
  <c r="G235" s="1"/>
  <c r="G241" s="1"/>
  <c r="O302"/>
  <c r="O285" s="1"/>
  <c r="O291" s="1"/>
  <c r="G227"/>
  <c r="G210" s="1"/>
  <c r="G216" s="1"/>
  <c r="G202"/>
  <c r="G185" s="1"/>
  <c r="G191" s="1"/>
  <c r="O177"/>
  <c r="O160" s="1"/>
  <c r="O166" s="1"/>
  <c r="O277"/>
  <c r="O260" s="1"/>
  <c r="O266" s="1"/>
  <c r="O252"/>
  <c r="O235" s="1"/>
  <c r="O241" s="1"/>
  <c r="C23" i="72" l="1"/>
  <c r="E23"/>
  <c r="D23"/>
  <c r="I44" i="73"/>
  <c r="H41"/>
  <c r="G41"/>
  <c r="F41"/>
  <c r="E41"/>
  <c r="D41"/>
  <c r="I43"/>
  <c r="H43"/>
  <c r="E43"/>
  <c r="D43"/>
  <c r="D16" i="74" l="1"/>
  <c r="C146" i="76"/>
  <c r="C132" s="1"/>
  <c r="C11"/>
  <c r="C12"/>
  <c r="C25"/>
  <c r="C32"/>
  <c r="C44"/>
  <c r="C51"/>
  <c r="C58"/>
  <c r="C64"/>
  <c r="C73"/>
  <c r="C72" s="1"/>
  <c r="C71" s="1"/>
  <c r="C88"/>
  <c r="C87" s="1"/>
  <c r="C86" s="1"/>
  <c r="C110"/>
  <c r="C116"/>
  <c r="C123"/>
  <c r="C150"/>
  <c r="C159"/>
  <c r="C165"/>
  <c r="C149" s="1"/>
  <c r="C179"/>
  <c r="C178" s="1"/>
  <c r="C177" s="1"/>
  <c r="C194"/>
  <c r="C193" s="1"/>
  <c r="C192" s="1"/>
  <c r="C223"/>
  <c r="C224"/>
  <c r="C226"/>
  <c r="C227"/>
  <c r="C225" s="1"/>
  <c r="C230"/>
  <c r="C231"/>
  <c r="C233"/>
  <c r="C234"/>
  <c r="C232" s="1"/>
  <c r="C222" l="1"/>
  <c r="C221" s="1"/>
  <c r="C207"/>
  <c r="C101"/>
  <c r="C229"/>
  <c r="C228" s="1"/>
  <c r="C50"/>
  <c r="C215" s="1"/>
  <c r="C10"/>
  <c r="C109"/>
  <c r="C176" s="1"/>
  <c r="C208" l="1"/>
  <c r="C220"/>
  <c r="C245"/>
  <c r="C70"/>
  <c r="C102" s="1"/>
  <c r="C214"/>
  <c r="C244" s="1"/>
  <c r="C213" l="1"/>
  <c r="H197" i="117" l="1"/>
  <c r="A100" l="1"/>
  <c r="AA100"/>
  <c r="T100"/>
  <c r="N100"/>
  <c r="H100"/>
  <c r="G100" s="1"/>
  <c r="H200"/>
  <c r="H199"/>
  <c r="S100" l="1"/>
  <c r="AF100" s="1"/>
  <c r="H198"/>
  <c r="H207" s="1"/>
  <c r="H202" l="1"/>
  <c r="AA23"/>
  <c r="T23"/>
  <c r="S23" s="1"/>
  <c r="N23"/>
  <c r="H23"/>
  <c r="G23" s="1"/>
  <c r="W48"/>
  <c r="V132"/>
  <c r="U136"/>
  <c r="U132"/>
  <c r="Y11"/>
  <c r="V111"/>
  <c r="U111"/>
  <c r="AA152"/>
  <c r="T152"/>
  <c r="N152"/>
  <c r="G152" s="1"/>
  <c r="H152"/>
  <c r="AA150"/>
  <c r="T150"/>
  <c r="N150"/>
  <c r="H150"/>
  <c r="G150" s="1"/>
  <c r="H206"/>
  <c r="H203"/>
  <c r="AF23" l="1"/>
  <c r="S152"/>
  <c r="AF152" s="1"/>
  <c r="S150"/>
  <c r="AF150" s="1"/>
  <c r="H201"/>
  <c r="H205" l="1"/>
  <c r="Y69"/>
  <c r="D23" i="79"/>
  <c r="D16" l="1"/>
  <c r="D14"/>
  <c r="D13"/>
  <c r="AB46" i="117"/>
  <c r="AA46" s="1"/>
  <c r="AC36"/>
  <c r="AA36" s="1"/>
  <c r="AB43"/>
  <c r="AA43" s="1"/>
  <c r="AB164"/>
  <c r="AA164" s="1"/>
  <c r="AB47"/>
  <c r="AA47" s="1"/>
  <c r="I96"/>
  <c r="P45"/>
  <c r="P96" s="1"/>
  <c r="R95"/>
  <c r="R96" s="1"/>
  <c r="G189"/>
  <c r="G188"/>
  <c r="AA93"/>
  <c r="T93"/>
  <c r="N93"/>
  <c r="H93"/>
  <c r="AA92"/>
  <c r="T92"/>
  <c r="N92"/>
  <c r="H92"/>
  <c r="AA91"/>
  <c r="T91"/>
  <c r="N91"/>
  <c r="H91"/>
  <c r="AA90"/>
  <c r="T90"/>
  <c r="N90"/>
  <c r="H90"/>
  <c r="AA89"/>
  <c r="T89"/>
  <c r="N89"/>
  <c r="H89"/>
  <c r="AA88"/>
  <c r="T88"/>
  <c r="N88"/>
  <c r="H88"/>
  <c r="AA87"/>
  <c r="T87"/>
  <c r="N87"/>
  <c r="H87"/>
  <c r="AA77"/>
  <c r="T77"/>
  <c r="N77"/>
  <c r="H77"/>
  <c r="AA76"/>
  <c r="T76"/>
  <c r="N76"/>
  <c r="H76"/>
  <c r="AA75"/>
  <c r="T75"/>
  <c r="N75"/>
  <c r="H75"/>
  <c r="AA74"/>
  <c r="T74"/>
  <c r="N74"/>
  <c r="H74"/>
  <c r="AA73"/>
  <c r="T73"/>
  <c r="N73"/>
  <c r="H73"/>
  <c r="AA72"/>
  <c r="T72"/>
  <c r="N72"/>
  <c r="H72"/>
  <c r="AA71"/>
  <c r="T71"/>
  <c r="N71"/>
  <c r="H71"/>
  <c r="AA70"/>
  <c r="T70"/>
  <c r="N70"/>
  <c r="H70"/>
  <c r="H10"/>
  <c r="N10"/>
  <c r="T10"/>
  <c r="AA10"/>
  <c r="H11"/>
  <c r="N11"/>
  <c r="T11"/>
  <c r="AA11"/>
  <c r="H14"/>
  <c r="N14"/>
  <c r="T14"/>
  <c r="AA14"/>
  <c r="H25"/>
  <c r="N25"/>
  <c r="T25"/>
  <c r="AA25"/>
  <c r="H37"/>
  <c r="N37"/>
  <c r="T37"/>
  <c r="AA37"/>
  <c r="E192"/>
  <c r="E193" s="1"/>
  <c r="E194" s="1"/>
  <c r="E195" s="1"/>
  <c r="E196" s="1"/>
  <c r="E197" s="1"/>
  <c r="E198" s="1"/>
  <c r="AE181"/>
  <c r="AD181"/>
  <c r="AC181"/>
  <c r="AB181"/>
  <c r="Z181"/>
  <c r="Y181"/>
  <c r="X181"/>
  <c r="W181"/>
  <c r="V181"/>
  <c r="U181"/>
  <c r="R181"/>
  <c r="Q181"/>
  <c r="P181"/>
  <c r="O181"/>
  <c r="M181"/>
  <c r="L181"/>
  <c r="K181"/>
  <c r="J181"/>
  <c r="I181"/>
  <c r="AA180"/>
  <c r="AA181" s="1"/>
  <c r="T180"/>
  <c r="T181" s="1"/>
  <c r="N180"/>
  <c r="N181" s="1"/>
  <c r="H180"/>
  <c r="H181" s="1"/>
  <c r="AE179"/>
  <c r="AD179"/>
  <c r="AC179"/>
  <c r="AB179"/>
  <c r="Z179"/>
  <c r="Y179"/>
  <c r="X179"/>
  <c r="W179"/>
  <c r="V179"/>
  <c r="U179"/>
  <c r="R179"/>
  <c r="Q179"/>
  <c r="P179"/>
  <c r="O179"/>
  <c r="M179"/>
  <c r="L179"/>
  <c r="K179"/>
  <c r="J179"/>
  <c r="I179"/>
  <c r="AA178"/>
  <c r="AA179" s="1"/>
  <c r="T178"/>
  <c r="T179" s="1"/>
  <c r="N178"/>
  <c r="N179" s="1"/>
  <c r="H178"/>
  <c r="H179" s="1"/>
  <c r="AE177"/>
  <c r="AD177"/>
  <c r="AC177"/>
  <c r="AB177"/>
  <c r="Z177"/>
  <c r="Y177"/>
  <c r="X177"/>
  <c r="W177"/>
  <c r="V177"/>
  <c r="R177"/>
  <c r="Q177"/>
  <c r="P177"/>
  <c r="O177"/>
  <c r="M177"/>
  <c r="L177"/>
  <c r="K177"/>
  <c r="J177"/>
  <c r="I177"/>
  <c r="AA176"/>
  <c r="T176"/>
  <c r="N176"/>
  <c r="H176"/>
  <c r="AA175"/>
  <c r="T175"/>
  <c r="N175"/>
  <c r="H175"/>
  <c r="AA174"/>
  <c r="T174"/>
  <c r="N174"/>
  <c r="H174"/>
  <c r="U177"/>
  <c r="AA173"/>
  <c r="T173"/>
  <c r="N173"/>
  <c r="H173"/>
  <c r="AA172"/>
  <c r="T172"/>
  <c r="N172"/>
  <c r="H172"/>
  <c r="AE169"/>
  <c r="AD169"/>
  <c r="AC169"/>
  <c r="AB169"/>
  <c r="Z169"/>
  <c r="Y169"/>
  <c r="X169"/>
  <c r="W169"/>
  <c r="V169"/>
  <c r="U169"/>
  <c r="R169"/>
  <c r="Q169"/>
  <c r="P169"/>
  <c r="O169"/>
  <c r="M169"/>
  <c r="L169"/>
  <c r="K169"/>
  <c r="J169"/>
  <c r="I169"/>
  <c r="AA168"/>
  <c r="AA169" s="1"/>
  <c r="T168"/>
  <c r="N168"/>
  <c r="N169" s="1"/>
  <c r="H168"/>
  <c r="H169" s="1"/>
  <c r="AE167"/>
  <c r="AD167"/>
  <c r="AC167"/>
  <c r="Z167"/>
  <c r="Y167"/>
  <c r="X167"/>
  <c r="W167"/>
  <c r="V167"/>
  <c r="R167"/>
  <c r="Q167"/>
  <c r="P167"/>
  <c r="O167"/>
  <c r="M167"/>
  <c r="L167"/>
  <c r="K167"/>
  <c r="J167"/>
  <c r="I167"/>
  <c r="AA166"/>
  <c r="T166"/>
  <c r="N166"/>
  <c r="H166"/>
  <c r="AA165"/>
  <c r="T165"/>
  <c r="N165"/>
  <c r="H165"/>
  <c r="U167"/>
  <c r="N164"/>
  <c r="H164"/>
  <c r="AA163"/>
  <c r="T163"/>
  <c r="N163"/>
  <c r="H163"/>
  <c r="AE162"/>
  <c r="AD162"/>
  <c r="AC162"/>
  <c r="AB162"/>
  <c r="Z162"/>
  <c r="Y162"/>
  <c r="X162"/>
  <c r="W162"/>
  <c r="V162"/>
  <c r="U162"/>
  <c r="R162"/>
  <c r="Q162"/>
  <c r="P162"/>
  <c r="O162"/>
  <c r="M162"/>
  <c r="L162"/>
  <c r="K162"/>
  <c r="J162"/>
  <c r="I162"/>
  <c r="AA161"/>
  <c r="AA162" s="1"/>
  <c r="T161"/>
  <c r="T162" s="1"/>
  <c r="N161"/>
  <c r="N162" s="1"/>
  <c r="H161"/>
  <c r="AE158"/>
  <c r="AD158"/>
  <c r="AC158"/>
  <c r="AB158"/>
  <c r="Z158"/>
  <c r="Y158"/>
  <c r="X158"/>
  <c r="W158"/>
  <c r="V158"/>
  <c r="U158"/>
  <c r="R158"/>
  <c r="Q158"/>
  <c r="P158"/>
  <c r="O158"/>
  <c r="M158"/>
  <c r="L158"/>
  <c r="K158"/>
  <c r="J158"/>
  <c r="I158"/>
  <c r="AA157"/>
  <c r="AA158" s="1"/>
  <c r="T157"/>
  <c r="T158" s="1"/>
  <c r="N157"/>
  <c r="N158" s="1"/>
  <c r="H157"/>
  <c r="H158" s="1"/>
  <c r="AE156"/>
  <c r="AD156"/>
  <c r="AC156"/>
  <c r="AB156"/>
  <c r="Z156"/>
  <c r="Y156"/>
  <c r="X156"/>
  <c r="W156"/>
  <c r="V156"/>
  <c r="U156"/>
  <c r="R156"/>
  <c r="Q156"/>
  <c r="P156"/>
  <c r="O156"/>
  <c r="M156"/>
  <c r="L156"/>
  <c r="K156"/>
  <c r="J156"/>
  <c r="I156"/>
  <c r="AA155"/>
  <c r="AA156" s="1"/>
  <c r="T155"/>
  <c r="T156" s="1"/>
  <c r="N155"/>
  <c r="N156" s="1"/>
  <c r="H155"/>
  <c r="AE154"/>
  <c r="AD154"/>
  <c r="AC154"/>
  <c r="AB154"/>
  <c r="Z154"/>
  <c r="Y154"/>
  <c r="X154"/>
  <c r="W154"/>
  <c r="R154"/>
  <c r="Q154"/>
  <c r="P154"/>
  <c r="O154"/>
  <c r="M154"/>
  <c r="L154"/>
  <c r="K154"/>
  <c r="J154"/>
  <c r="I154"/>
  <c r="AA153"/>
  <c r="T153"/>
  <c r="N153"/>
  <c r="H153"/>
  <c r="V154"/>
  <c r="U154"/>
  <c r="AA151"/>
  <c r="T151"/>
  <c r="N151"/>
  <c r="H151"/>
  <c r="AA149"/>
  <c r="T149"/>
  <c r="N149"/>
  <c r="H149"/>
  <c r="AA148"/>
  <c r="T148"/>
  <c r="N148"/>
  <c r="H148"/>
  <c r="AA147"/>
  <c r="T147"/>
  <c r="N147"/>
  <c r="H147"/>
  <c r="AA146"/>
  <c r="T146"/>
  <c r="N146"/>
  <c r="H146"/>
  <c r="AE143"/>
  <c r="AD143"/>
  <c r="AC143"/>
  <c r="AB143"/>
  <c r="Z143"/>
  <c r="Y143"/>
  <c r="X143"/>
  <c r="W143"/>
  <c r="V143"/>
  <c r="U143"/>
  <c r="R143"/>
  <c r="Q143"/>
  <c r="P143"/>
  <c r="O143"/>
  <c r="M143"/>
  <c r="L143"/>
  <c r="K143"/>
  <c r="J143"/>
  <c r="I143"/>
  <c r="AA142"/>
  <c r="AA143" s="1"/>
  <c r="T142"/>
  <c r="N142"/>
  <c r="N143" s="1"/>
  <c r="H142"/>
  <c r="AE141"/>
  <c r="AD141"/>
  <c r="AC141"/>
  <c r="AB141"/>
  <c r="Z141"/>
  <c r="Y141"/>
  <c r="X141"/>
  <c r="W141"/>
  <c r="V141"/>
  <c r="U141"/>
  <c r="R141"/>
  <c r="Q141"/>
  <c r="P141"/>
  <c r="O141"/>
  <c r="M141"/>
  <c r="L141"/>
  <c r="K141"/>
  <c r="J141"/>
  <c r="I141"/>
  <c r="AA140"/>
  <c r="AA141" s="1"/>
  <c r="T140"/>
  <c r="N140"/>
  <c r="N141" s="1"/>
  <c r="H140"/>
  <c r="AE139"/>
  <c r="AD139"/>
  <c r="AC139"/>
  <c r="AB139"/>
  <c r="Z139"/>
  <c r="Y139"/>
  <c r="X139"/>
  <c r="R139"/>
  <c r="Q139"/>
  <c r="P139"/>
  <c r="O139"/>
  <c r="M139"/>
  <c r="L139"/>
  <c r="K139"/>
  <c r="J139"/>
  <c r="I139"/>
  <c r="AA138"/>
  <c r="T138"/>
  <c r="N138"/>
  <c r="H138"/>
  <c r="AA137"/>
  <c r="T137"/>
  <c r="N137"/>
  <c r="H137"/>
  <c r="AA136"/>
  <c r="N136"/>
  <c r="H136"/>
  <c r="AA135"/>
  <c r="T135"/>
  <c r="N135"/>
  <c r="H135"/>
  <c r="AA134"/>
  <c r="T134"/>
  <c r="N134"/>
  <c r="H134"/>
  <c r="AA133"/>
  <c r="T133"/>
  <c r="N133"/>
  <c r="H133"/>
  <c r="AA132"/>
  <c r="V139"/>
  <c r="N132"/>
  <c r="H132"/>
  <c r="AA131"/>
  <c r="T131"/>
  <c r="N131"/>
  <c r="H131"/>
  <c r="AE128"/>
  <c r="AD128"/>
  <c r="AC128"/>
  <c r="AB128"/>
  <c r="Z128"/>
  <c r="Y128"/>
  <c r="X128"/>
  <c r="W128"/>
  <c r="V128"/>
  <c r="U128"/>
  <c r="R128"/>
  <c r="Q128"/>
  <c r="P128"/>
  <c r="O128"/>
  <c r="M128"/>
  <c r="L128"/>
  <c r="K128"/>
  <c r="J128"/>
  <c r="I128"/>
  <c r="AA127"/>
  <c r="T127"/>
  <c r="N127"/>
  <c r="H127"/>
  <c r="AA126"/>
  <c r="T126"/>
  <c r="N126"/>
  <c r="H126"/>
  <c r="AA125"/>
  <c r="T125"/>
  <c r="N125"/>
  <c r="H125"/>
  <c r="AA124"/>
  <c r="T124"/>
  <c r="N124"/>
  <c r="H124"/>
  <c r="AA123"/>
  <c r="T123"/>
  <c r="N123"/>
  <c r="H123"/>
  <c r="AA122"/>
  <c r="T122"/>
  <c r="N122"/>
  <c r="H122"/>
  <c r="AA121"/>
  <c r="T121"/>
  <c r="N121"/>
  <c r="H121"/>
  <c r="AE120"/>
  <c r="AD120"/>
  <c r="AC120"/>
  <c r="AB120"/>
  <c r="Z120"/>
  <c r="Y120"/>
  <c r="X120"/>
  <c r="W120"/>
  <c r="V120"/>
  <c r="U120"/>
  <c r="R120"/>
  <c r="Q120"/>
  <c r="P120"/>
  <c r="O120"/>
  <c r="M120"/>
  <c r="L120"/>
  <c r="K120"/>
  <c r="J120"/>
  <c r="I120"/>
  <c r="AA119"/>
  <c r="T119"/>
  <c r="N119"/>
  <c r="H119"/>
  <c r="AA118"/>
  <c r="T118"/>
  <c r="N118"/>
  <c r="H118"/>
  <c r="AA117"/>
  <c r="T117"/>
  <c r="N117"/>
  <c r="N120" s="1"/>
  <c r="H117"/>
  <c r="H120" s="1"/>
  <c r="AE116"/>
  <c r="AD116"/>
  <c r="AC116"/>
  <c r="AB116"/>
  <c r="Z116"/>
  <c r="Y116"/>
  <c r="X116"/>
  <c r="W116"/>
  <c r="U116"/>
  <c r="R116"/>
  <c r="Q116"/>
  <c r="P116"/>
  <c r="O116"/>
  <c r="M116"/>
  <c r="L116"/>
  <c r="K116"/>
  <c r="J116"/>
  <c r="I116"/>
  <c r="AA115"/>
  <c r="T115"/>
  <c r="N115"/>
  <c r="H115"/>
  <c r="V116"/>
  <c r="AA114"/>
  <c r="T114"/>
  <c r="N114"/>
  <c r="H114"/>
  <c r="AA113"/>
  <c r="T113"/>
  <c r="N113"/>
  <c r="H113"/>
  <c r="AA112"/>
  <c r="T112"/>
  <c r="N112"/>
  <c r="H112"/>
  <c r="AA111"/>
  <c r="T111"/>
  <c r="N111"/>
  <c r="H111"/>
  <c r="AA110"/>
  <c r="T110"/>
  <c r="N110"/>
  <c r="H110"/>
  <c r="AE107"/>
  <c r="AD107"/>
  <c r="AC107"/>
  <c r="AB107"/>
  <c r="Z107"/>
  <c r="Y107"/>
  <c r="X107"/>
  <c r="W107"/>
  <c r="V107"/>
  <c r="U107"/>
  <c r="R107"/>
  <c r="Q107"/>
  <c r="P107"/>
  <c r="O107"/>
  <c r="M107"/>
  <c r="L107"/>
  <c r="K107"/>
  <c r="J107"/>
  <c r="I107"/>
  <c r="AA106"/>
  <c r="AA107" s="1"/>
  <c r="T106"/>
  <c r="T107" s="1"/>
  <c r="N106"/>
  <c r="H106"/>
  <c r="H107" s="1"/>
  <c r="AE105"/>
  <c r="AD105"/>
  <c r="AC105"/>
  <c r="AB105"/>
  <c r="Z105"/>
  <c r="Y105"/>
  <c r="X105"/>
  <c r="W105"/>
  <c r="V105"/>
  <c r="U105"/>
  <c r="R105"/>
  <c r="Q105"/>
  <c r="P105"/>
  <c r="O105"/>
  <c r="M105"/>
  <c r="L105"/>
  <c r="K105"/>
  <c r="J105"/>
  <c r="I105"/>
  <c r="AA104"/>
  <c r="T104"/>
  <c r="N104"/>
  <c r="H104"/>
  <c r="AA103"/>
  <c r="T103"/>
  <c r="N103"/>
  <c r="H103"/>
  <c r="AA102"/>
  <c r="T102"/>
  <c r="N102"/>
  <c r="H102"/>
  <c r="AA101"/>
  <c r="T101"/>
  <c r="N101"/>
  <c r="H101"/>
  <c r="AA99"/>
  <c r="T99"/>
  <c r="N99"/>
  <c r="H99"/>
  <c r="AA98"/>
  <c r="T98"/>
  <c r="N98"/>
  <c r="H98"/>
  <c r="AA97"/>
  <c r="T97"/>
  <c r="N97"/>
  <c r="H97"/>
  <c r="H105" s="1"/>
  <c r="AE96"/>
  <c r="AD96"/>
  <c r="Z96"/>
  <c r="X96"/>
  <c r="V96"/>
  <c r="U96"/>
  <c r="Q96"/>
  <c r="O96"/>
  <c r="M96"/>
  <c r="L96"/>
  <c r="K96"/>
  <c r="J96"/>
  <c r="AA95"/>
  <c r="T95"/>
  <c r="N95"/>
  <c r="H95"/>
  <c r="AA94"/>
  <c r="T94"/>
  <c r="N94"/>
  <c r="H94"/>
  <c r="AA86"/>
  <c r="T86"/>
  <c r="N86"/>
  <c r="H86"/>
  <c r="AA85"/>
  <c r="T85"/>
  <c r="N85"/>
  <c r="H85"/>
  <c r="AA84"/>
  <c r="T84"/>
  <c r="N84"/>
  <c r="H84"/>
  <c r="AA83"/>
  <c r="T83"/>
  <c r="N83"/>
  <c r="H83"/>
  <c r="AA82"/>
  <c r="T82"/>
  <c r="N82"/>
  <c r="H82"/>
  <c r="AA81"/>
  <c r="T81"/>
  <c r="N81"/>
  <c r="H81"/>
  <c r="AA80"/>
  <c r="T80"/>
  <c r="N80"/>
  <c r="H80"/>
  <c r="AA79"/>
  <c r="T79"/>
  <c r="N79"/>
  <c r="H79"/>
  <c r="AA78"/>
  <c r="T78"/>
  <c r="N78"/>
  <c r="H78"/>
  <c r="AA69"/>
  <c r="T69"/>
  <c r="N69"/>
  <c r="H69"/>
  <c r="AA68"/>
  <c r="T68"/>
  <c r="N68"/>
  <c r="H68"/>
  <c r="AA67"/>
  <c r="T67"/>
  <c r="N67"/>
  <c r="H67"/>
  <c r="AA66"/>
  <c r="T66"/>
  <c r="N66"/>
  <c r="H66"/>
  <c r="AA65"/>
  <c r="T65"/>
  <c r="N65"/>
  <c r="H65"/>
  <c r="AA64"/>
  <c r="T64"/>
  <c r="N64"/>
  <c r="H64"/>
  <c r="AA63"/>
  <c r="T63"/>
  <c r="N63"/>
  <c r="H63"/>
  <c r="AA62"/>
  <c r="T62"/>
  <c r="N62"/>
  <c r="H62"/>
  <c r="AA61"/>
  <c r="T61"/>
  <c r="N61"/>
  <c r="H61"/>
  <c r="AA60"/>
  <c r="T60"/>
  <c r="N60"/>
  <c r="H60"/>
  <c r="AA59"/>
  <c r="T59"/>
  <c r="N59"/>
  <c r="H59"/>
  <c r="AA58"/>
  <c r="T58"/>
  <c r="N58"/>
  <c r="H58"/>
  <c r="AA57"/>
  <c r="T57"/>
  <c r="N57"/>
  <c r="H57"/>
  <c r="AA56"/>
  <c r="T56"/>
  <c r="N56"/>
  <c r="H56"/>
  <c r="AA55"/>
  <c r="T55"/>
  <c r="N55"/>
  <c r="H55"/>
  <c r="AA54"/>
  <c r="T54"/>
  <c r="N54"/>
  <c r="H54"/>
  <c r="AA53"/>
  <c r="T53"/>
  <c r="N53"/>
  <c r="H53"/>
  <c r="AA52"/>
  <c r="T52"/>
  <c r="N52"/>
  <c r="H52"/>
  <c r="AA51"/>
  <c r="T51"/>
  <c r="N51"/>
  <c r="H51"/>
  <c r="AA50"/>
  <c r="T50"/>
  <c r="N50"/>
  <c r="H50"/>
  <c r="AA49"/>
  <c r="T49"/>
  <c r="N49"/>
  <c r="H49"/>
  <c r="AA48"/>
  <c r="T48"/>
  <c r="N48"/>
  <c r="H48"/>
  <c r="T47"/>
  <c r="N47"/>
  <c r="H47"/>
  <c r="T46"/>
  <c r="N46"/>
  <c r="H46"/>
  <c r="T36"/>
  <c r="N36"/>
  <c r="H36"/>
  <c r="T43"/>
  <c r="N43"/>
  <c r="H43"/>
  <c r="AA45"/>
  <c r="T45"/>
  <c r="H45"/>
  <c r="A45"/>
  <c r="AA44"/>
  <c r="T44"/>
  <c r="N44"/>
  <c r="H44"/>
  <c r="AA42"/>
  <c r="T42"/>
  <c r="N42"/>
  <c r="H42"/>
  <c r="AA41"/>
  <c r="T41"/>
  <c r="N41"/>
  <c r="H41"/>
  <c r="AA40"/>
  <c r="T40"/>
  <c r="N40"/>
  <c r="H40"/>
  <c r="AA39"/>
  <c r="T39"/>
  <c r="N39"/>
  <c r="H39"/>
  <c r="AA38"/>
  <c r="T38"/>
  <c r="N38"/>
  <c r="H38"/>
  <c r="AA35"/>
  <c r="T35"/>
  <c r="N35"/>
  <c r="H35"/>
  <c r="AA34"/>
  <c r="T34"/>
  <c r="N34"/>
  <c r="H34"/>
  <c r="AA33"/>
  <c r="T33"/>
  <c r="N33"/>
  <c r="H33"/>
  <c r="AA32"/>
  <c r="T32"/>
  <c r="N32"/>
  <c r="H32"/>
  <c r="AA31"/>
  <c r="T31"/>
  <c r="N31"/>
  <c r="H31"/>
  <c r="AA30"/>
  <c r="T30"/>
  <c r="N30"/>
  <c r="H30"/>
  <c r="AA29"/>
  <c r="T29"/>
  <c r="N29"/>
  <c r="H29"/>
  <c r="AA28"/>
  <c r="T28"/>
  <c r="N28"/>
  <c r="H28"/>
  <c r="AA27"/>
  <c r="T27"/>
  <c r="N27"/>
  <c r="H27"/>
  <c r="AA26"/>
  <c r="T26"/>
  <c r="N26"/>
  <c r="H26"/>
  <c r="AA24"/>
  <c r="T24"/>
  <c r="N24"/>
  <c r="H24"/>
  <c r="AA22"/>
  <c r="T22"/>
  <c r="N22"/>
  <c r="H22"/>
  <c r="AA21"/>
  <c r="T21"/>
  <c r="N21"/>
  <c r="H21"/>
  <c r="AA20"/>
  <c r="T20"/>
  <c r="N20"/>
  <c r="H20"/>
  <c r="AA19"/>
  <c r="T19"/>
  <c r="N19"/>
  <c r="H19"/>
  <c r="AA18"/>
  <c r="T18"/>
  <c r="N18"/>
  <c r="H18"/>
  <c r="AA17"/>
  <c r="T17"/>
  <c r="N17"/>
  <c r="H17"/>
  <c r="AA16"/>
  <c r="T16"/>
  <c r="N16"/>
  <c r="H16"/>
  <c r="AA15"/>
  <c r="T15"/>
  <c r="N15"/>
  <c r="H15"/>
  <c r="AA13"/>
  <c r="T13"/>
  <c r="N13"/>
  <c r="H13"/>
  <c r="AA12"/>
  <c r="T12"/>
  <c r="N12"/>
  <c r="H12"/>
  <c r="AA9"/>
  <c r="T9"/>
  <c r="N9"/>
  <c r="H9"/>
  <c r="A9"/>
  <c r="A12" s="1"/>
  <c r="A13" s="1"/>
  <c r="A15" s="1"/>
  <c r="A16" s="1"/>
  <c r="A17" s="1"/>
  <c r="A18" s="1"/>
  <c r="A19" s="1"/>
  <c r="A20" s="1"/>
  <c r="A21" s="1"/>
  <c r="A22" s="1"/>
  <c r="A24" s="1"/>
  <c r="A26" s="1"/>
  <c r="A27" s="1"/>
  <c r="A28" s="1"/>
  <c r="A29" s="1"/>
  <c r="A30" s="1"/>
  <c r="A31" s="1"/>
  <c r="A32" s="1"/>
  <c r="A33" s="1"/>
  <c r="A34" s="1"/>
  <c r="A35" s="1"/>
  <c r="A38" s="1"/>
  <c r="A39" s="1"/>
  <c r="A40" s="1"/>
  <c r="A41" s="1"/>
  <c r="A42" s="1"/>
  <c r="A44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4" s="1"/>
  <c r="A65" s="1"/>
  <c r="A66" s="1"/>
  <c r="A67" s="1"/>
  <c r="A68" s="1"/>
  <c r="A70" s="1"/>
  <c r="AA8"/>
  <c r="T8"/>
  <c r="N8"/>
  <c r="H8"/>
  <c r="E199" l="1"/>
  <c r="E200" s="1"/>
  <c r="E201" s="1"/>
  <c r="E202" s="1"/>
  <c r="E203" s="1"/>
  <c r="E204" s="1"/>
  <c r="E205" s="1"/>
  <c r="E206" s="1"/>
  <c r="H177"/>
  <c r="H182" s="1"/>
  <c r="G136"/>
  <c r="I144"/>
  <c r="M144"/>
  <c r="R144"/>
  <c r="S91"/>
  <c r="S71"/>
  <c r="AC96"/>
  <c r="AC108" s="1"/>
  <c r="S90"/>
  <c r="S70"/>
  <c r="G14"/>
  <c r="G11"/>
  <c r="G88"/>
  <c r="G72"/>
  <c r="G73"/>
  <c r="G75"/>
  <c r="G76"/>
  <c r="G87"/>
  <c r="S10"/>
  <c r="W182"/>
  <c r="AB182"/>
  <c r="S25"/>
  <c r="S14"/>
  <c r="G10"/>
  <c r="S75"/>
  <c r="S76"/>
  <c r="S77"/>
  <c r="S87"/>
  <c r="G92"/>
  <c r="G93"/>
  <c r="AB167"/>
  <c r="AB170" s="1"/>
  <c r="AB96"/>
  <c r="AB108" s="1"/>
  <c r="N45"/>
  <c r="G45" s="1"/>
  <c r="S11"/>
  <c r="S88"/>
  <c r="S89"/>
  <c r="G70"/>
  <c r="G71"/>
  <c r="S72"/>
  <c r="S73"/>
  <c r="S74"/>
  <c r="G77"/>
  <c r="G91"/>
  <c r="S92"/>
  <c r="S93"/>
  <c r="J144"/>
  <c r="L182"/>
  <c r="Q182"/>
  <c r="G74"/>
  <c r="G89"/>
  <c r="G90"/>
  <c r="A7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7" s="1"/>
  <c r="Y96"/>
  <c r="Y108" s="1"/>
  <c r="G25"/>
  <c r="AA167"/>
  <c r="AA170" s="1"/>
  <c r="S37"/>
  <c r="G37"/>
  <c r="G148"/>
  <c r="G149"/>
  <c r="T120"/>
  <c r="A95"/>
  <c r="X182"/>
  <c r="AC182"/>
  <c r="W129"/>
  <c r="AB129"/>
  <c r="G47"/>
  <c r="S95"/>
  <c r="G62"/>
  <c r="G112"/>
  <c r="S135"/>
  <c r="S22"/>
  <c r="S28"/>
  <c r="S32"/>
  <c r="S38"/>
  <c r="G54"/>
  <c r="X108"/>
  <c r="S104"/>
  <c r="K170"/>
  <c r="P170"/>
  <c r="G19"/>
  <c r="G20"/>
  <c r="G21"/>
  <c r="G24"/>
  <c r="G33"/>
  <c r="G39"/>
  <c r="G40"/>
  <c r="S52"/>
  <c r="S56"/>
  <c r="S60"/>
  <c r="S84"/>
  <c r="L129"/>
  <c r="Q129"/>
  <c r="S125"/>
  <c r="S126"/>
  <c r="S127"/>
  <c r="G153"/>
  <c r="S166"/>
  <c r="G176"/>
  <c r="G28"/>
  <c r="G29"/>
  <c r="G32"/>
  <c r="G36"/>
  <c r="S67"/>
  <c r="S68"/>
  <c r="S69"/>
  <c r="S78"/>
  <c r="S81"/>
  <c r="S82"/>
  <c r="S83"/>
  <c r="J108"/>
  <c r="O108"/>
  <c r="U108"/>
  <c r="G98"/>
  <c r="S111"/>
  <c r="G122"/>
  <c r="T136"/>
  <c r="S136" s="1"/>
  <c r="S142"/>
  <c r="S143" s="1"/>
  <c r="K159"/>
  <c r="P159"/>
  <c r="G166"/>
  <c r="U182"/>
  <c r="S174"/>
  <c r="G15"/>
  <c r="G17"/>
  <c r="G41"/>
  <c r="G113"/>
  <c r="G114"/>
  <c r="G115"/>
  <c r="W139"/>
  <c r="W144" s="1"/>
  <c r="V170"/>
  <c r="Z170"/>
  <c r="AE170"/>
  <c r="G174"/>
  <c r="G16"/>
  <c r="S12"/>
  <c r="S18"/>
  <c r="S35"/>
  <c r="S42"/>
  <c r="S44"/>
  <c r="S46"/>
  <c r="G49"/>
  <c r="G50"/>
  <c r="G53"/>
  <c r="S112"/>
  <c r="X129"/>
  <c r="AC129"/>
  <c r="G119"/>
  <c r="V144"/>
  <c r="L144"/>
  <c r="Q144"/>
  <c r="G147"/>
  <c r="AE159"/>
  <c r="J170"/>
  <c r="O170"/>
  <c r="AD170"/>
  <c r="I182"/>
  <c r="M182"/>
  <c r="R182"/>
  <c r="Y182"/>
  <c r="AD182"/>
  <c r="S43"/>
  <c r="S64"/>
  <c r="S65"/>
  <c r="G85"/>
  <c r="G86"/>
  <c r="G94"/>
  <c r="Z108"/>
  <c r="U139"/>
  <c r="U144" s="1"/>
  <c r="T132"/>
  <c r="S132" s="1"/>
  <c r="G137"/>
  <c r="G138"/>
  <c r="G140"/>
  <c r="G141" s="1"/>
  <c r="N154"/>
  <c r="N159" s="1"/>
  <c r="V159"/>
  <c r="J159"/>
  <c r="O159"/>
  <c r="G155"/>
  <c r="G156" s="1"/>
  <c r="G175"/>
  <c r="S13"/>
  <c r="S15"/>
  <c r="S16"/>
  <c r="S19"/>
  <c r="S20"/>
  <c r="S39"/>
  <c r="S40"/>
  <c r="W96"/>
  <c r="W108" s="1"/>
  <c r="G46"/>
  <c r="G48"/>
  <c r="S57"/>
  <c r="S61"/>
  <c r="G68"/>
  <c r="G69"/>
  <c r="G78"/>
  <c r="G79"/>
  <c r="G81"/>
  <c r="G82"/>
  <c r="G83"/>
  <c r="L108"/>
  <c r="Q108"/>
  <c r="S98"/>
  <c r="T105"/>
  <c r="S101"/>
  <c r="S102"/>
  <c r="S103"/>
  <c r="S106"/>
  <c r="S107" s="1"/>
  <c r="V129"/>
  <c r="K129"/>
  <c r="P129"/>
  <c r="N128"/>
  <c r="G123"/>
  <c r="G124"/>
  <c r="G126"/>
  <c r="N139"/>
  <c r="N144" s="1"/>
  <c r="Z144"/>
  <c r="AE144"/>
  <c r="G142"/>
  <c r="G143" s="1"/>
  <c r="S148"/>
  <c r="S149"/>
  <c r="S151"/>
  <c r="U159"/>
  <c r="Z159"/>
  <c r="G161"/>
  <c r="G162" s="1"/>
  <c r="X170"/>
  <c r="G164"/>
  <c r="S165"/>
  <c r="S172"/>
  <c r="S173"/>
  <c r="P182"/>
  <c r="G178"/>
  <c r="G179" s="1"/>
  <c r="S9"/>
  <c r="G13"/>
  <c r="S27"/>
  <c r="S31"/>
  <c r="G43"/>
  <c r="S49"/>
  <c r="S53"/>
  <c r="G57"/>
  <c r="G58"/>
  <c r="G61"/>
  <c r="G64"/>
  <c r="G65"/>
  <c r="G66"/>
  <c r="S80"/>
  <c r="S85"/>
  <c r="S86"/>
  <c r="S94"/>
  <c r="K108"/>
  <c r="P108"/>
  <c r="V108"/>
  <c r="G99"/>
  <c r="G104"/>
  <c r="G106"/>
  <c r="G107" s="1"/>
  <c r="AA116"/>
  <c r="Z129"/>
  <c r="AE129"/>
  <c r="S119"/>
  <c r="H128"/>
  <c r="S124"/>
  <c r="G131"/>
  <c r="G132"/>
  <c r="S133"/>
  <c r="S134"/>
  <c r="S138"/>
  <c r="AD144"/>
  <c r="S140"/>
  <c r="S141" s="1"/>
  <c r="S147"/>
  <c r="L159"/>
  <c r="Q159"/>
  <c r="Y159"/>
  <c r="AD159"/>
  <c r="W170"/>
  <c r="H167"/>
  <c r="T164"/>
  <c r="S164" s="1"/>
  <c r="S168"/>
  <c r="S169" s="1"/>
  <c r="T169"/>
  <c r="N177"/>
  <c r="N182" s="1"/>
  <c r="G173"/>
  <c r="S175"/>
  <c r="J182"/>
  <c r="O182"/>
  <c r="T141"/>
  <c r="I108"/>
  <c r="S17"/>
  <c r="G22"/>
  <c r="S24"/>
  <c r="S26"/>
  <c r="G30"/>
  <c r="G31"/>
  <c r="S33"/>
  <c r="S34"/>
  <c r="G38"/>
  <c r="S41"/>
  <c r="S36"/>
  <c r="G51"/>
  <c r="G52"/>
  <c r="S54"/>
  <c r="S55"/>
  <c r="G59"/>
  <c r="G60"/>
  <c r="S62"/>
  <c r="S63"/>
  <c r="G67"/>
  <c r="S79"/>
  <c r="G84"/>
  <c r="G95"/>
  <c r="M108"/>
  <c r="R108"/>
  <c r="AE108"/>
  <c r="AA105"/>
  <c r="S113"/>
  <c r="S114"/>
  <c r="S115"/>
  <c r="G118"/>
  <c r="AA128"/>
  <c r="S122"/>
  <c r="S123"/>
  <c r="G127"/>
  <c r="H139"/>
  <c r="G133"/>
  <c r="G134"/>
  <c r="G135"/>
  <c r="K144"/>
  <c r="P144"/>
  <c r="Y144"/>
  <c r="T143"/>
  <c r="G146"/>
  <c r="G151"/>
  <c r="S153"/>
  <c r="X159"/>
  <c r="AC159"/>
  <c r="H156"/>
  <c r="G157"/>
  <c r="G158" s="1"/>
  <c r="S161"/>
  <c r="S162" s="1"/>
  <c r="I170"/>
  <c r="M170"/>
  <c r="R170"/>
  <c r="G168"/>
  <c r="G169" s="1"/>
  <c r="S176"/>
  <c r="K182"/>
  <c r="V182"/>
  <c r="Z182"/>
  <c r="AE182"/>
  <c r="S48"/>
  <c r="AD108"/>
  <c r="S97"/>
  <c r="G101"/>
  <c r="G102"/>
  <c r="G103"/>
  <c r="N116"/>
  <c r="G111"/>
  <c r="J129"/>
  <c r="O129"/>
  <c r="U129"/>
  <c r="AA120"/>
  <c r="S118"/>
  <c r="T128"/>
  <c r="G125"/>
  <c r="AA139"/>
  <c r="AA144" s="1"/>
  <c r="S137"/>
  <c r="O144"/>
  <c r="X144"/>
  <c r="AC144"/>
  <c r="H141"/>
  <c r="S146"/>
  <c r="W159"/>
  <c r="AB159"/>
  <c r="H162"/>
  <c r="L170"/>
  <c r="Q170"/>
  <c r="S163"/>
  <c r="AA177"/>
  <c r="AA182" s="1"/>
  <c r="AA96"/>
  <c r="G9"/>
  <c r="G12"/>
  <c r="G18"/>
  <c r="S21"/>
  <c r="G26"/>
  <c r="G27"/>
  <c r="S29"/>
  <c r="S30"/>
  <c r="G34"/>
  <c r="G35"/>
  <c r="G42"/>
  <c r="G44"/>
  <c r="S45"/>
  <c r="S47"/>
  <c r="S50"/>
  <c r="S51"/>
  <c r="G55"/>
  <c r="G56"/>
  <c r="S58"/>
  <c r="S59"/>
  <c r="G63"/>
  <c r="S66"/>
  <c r="G80"/>
  <c r="N105"/>
  <c r="H116"/>
  <c r="I129"/>
  <c r="M129"/>
  <c r="R129"/>
  <c r="Y129"/>
  <c r="AD129"/>
  <c r="S121"/>
  <c r="AB144"/>
  <c r="H143"/>
  <c r="I159"/>
  <c r="M159"/>
  <c r="R159"/>
  <c r="U170"/>
  <c r="Y170"/>
  <c r="AC170"/>
  <c r="G163"/>
  <c r="G165"/>
  <c r="G180"/>
  <c r="G181" s="1"/>
  <c r="S99"/>
  <c r="G117"/>
  <c r="S131"/>
  <c r="H154"/>
  <c r="S155"/>
  <c r="S156" s="1"/>
  <c r="S157"/>
  <c r="S158" s="1"/>
  <c r="G8"/>
  <c r="G97"/>
  <c r="N107"/>
  <c r="G110"/>
  <c r="S117"/>
  <c r="AA154"/>
  <c r="AA159" s="1"/>
  <c r="N167"/>
  <c r="N170" s="1"/>
  <c r="G172"/>
  <c r="S178"/>
  <c r="S179" s="1"/>
  <c r="S180"/>
  <c r="S181" s="1"/>
  <c r="S8"/>
  <c r="S110"/>
  <c r="G121"/>
  <c r="A23" l="1"/>
  <c r="AF10"/>
  <c r="AF11"/>
  <c r="AF136"/>
  <c r="AF14"/>
  <c r="AF69"/>
  <c r="AF47"/>
  <c r="AF25"/>
  <c r="AF95"/>
  <c r="AF36"/>
  <c r="N129"/>
  <c r="AF45"/>
  <c r="N96"/>
  <c r="N108" s="1"/>
  <c r="AF148"/>
  <c r="T177"/>
  <c r="T182" s="1"/>
  <c r="A98"/>
  <c r="A99" s="1"/>
  <c r="A101" s="1"/>
  <c r="A103" s="1"/>
  <c r="A104" s="1"/>
  <c r="A106" s="1"/>
  <c r="A110" s="1"/>
  <c r="A112" s="1"/>
  <c r="A113" s="1"/>
  <c r="A114" s="1"/>
  <c r="A115" s="1"/>
  <c r="A117" s="1"/>
  <c r="A118" s="1"/>
  <c r="A119" s="1"/>
  <c r="A121" s="1"/>
  <c r="A122" s="1"/>
  <c r="A123" s="1"/>
  <c r="A124" s="1"/>
  <c r="A125" s="1"/>
  <c r="A126" s="1"/>
  <c r="A127" s="1"/>
  <c r="A131" s="1"/>
  <c r="A133" s="1"/>
  <c r="A134" s="1"/>
  <c r="A135" s="1"/>
  <c r="A137" s="1"/>
  <c r="A138" s="1"/>
  <c r="A140" s="1"/>
  <c r="A142" s="1"/>
  <c r="A146" s="1"/>
  <c r="A147" s="1"/>
  <c r="A149" s="1"/>
  <c r="A151" s="1"/>
  <c r="A153" s="1"/>
  <c r="A155" s="1"/>
  <c r="A157" s="1"/>
  <c r="A161" s="1"/>
  <c r="A163" s="1"/>
  <c r="A165" s="1"/>
  <c r="A168" s="1"/>
  <c r="A172" s="1"/>
  <c r="A173" s="1"/>
  <c r="A174" s="1"/>
  <c r="A175" s="1"/>
  <c r="A176" s="1"/>
  <c r="A178" s="1"/>
  <c r="A180" s="1"/>
  <c r="AF37"/>
  <c r="AF46"/>
  <c r="AF132"/>
  <c r="AF166"/>
  <c r="AA129"/>
  <c r="AC184"/>
  <c r="H170"/>
  <c r="AB184"/>
  <c r="J184"/>
  <c r="AF102"/>
  <c r="P184"/>
  <c r="V184"/>
  <c r="Q184"/>
  <c r="X184"/>
  <c r="K184"/>
  <c r="S177"/>
  <c r="S182" s="1"/>
  <c r="AF164"/>
  <c r="S105"/>
  <c r="G105"/>
  <c r="AF111"/>
  <c r="S96"/>
  <c r="S120"/>
  <c r="H159"/>
  <c r="Y184"/>
  <c r="AF63"/>
  <c r="S167"/>
  <c r="S170" s="1"/>
  <c r="U184"/>
  <c r="AF43"/>
  <c r="G177"/>
  <c r="G182" s="1"/>
  <c r="G120"/>
  <c r="G167"/>
  <c r="G170" s="1"/>
  <c r="AA108"/>
  <c r="T167"/>
  <c r="T170" s="1"/>
  <c r="AF48"/>
  <c r="Z184"/>
  <c r="G116"/>
  <c r="S128"/>
  <c r="H129"/>
  <c r="L184"/>
  <c r="O184"/>
  <c r="AD184"/>
  <c r="H96"/>
  <c r="H108" s="1"/>
  <c r="S116"/>
  <c r="S154"/>
  <c r="S159" s="1"/>
  <c r="S139"/>
  <c r="S144" s="1"/>
  <c r="T96"/>
  <c r="T108" s="1"/>
  <c r="H144"/>
  <c r="R184"/>
  <c r="G128"/>
  <c r="G154"/>
  <c r="G159" s="1"/>
  <c r="M184"/>
  <c r="G96"/>
  <c r="W184"/>
  <c r="AE184"/>
  <c r="I184"/>
  <c r="A43"/>
  <c r="T139"/>
  <c r="T144" s="1"/>
  <c r="T116"/>
  <c r="T129" s="1"/>
  <c r="T154"/>
  <c r="T159" s="1"/>
  <c r="G139"/>
  <c r="G144" s="1"/>
  <c r="A152" l="1"/>
  <c r="A150"/>
  <c r="S108"/>
  <c r="N184"/>
  <c r="G108"/>
  <c r="AA184"/>
  <c r="H184"/>
  <c r="G129"/>
  <c r="S129"/>
  <c r="A36"/>
  <c r="T184"/>
  <c r="S184" l="1"/>
  <c r="G184"/>
  <c r="H189"/>
  <c r="H188"/>
  <c r="A46"/>
  <c r="H187" l="1"/>
  <c r="A47"/>
  <c r="A63" l="1"/>
  <c r="A14"/>
  <c r="A10" l="1"/>
  <c r="A102"/>
  <c r="A69"/>
  <c r="A37" l="1"/>
  <c r="A48"/>
  <c r="A111" l="1"/>
  <c r="A136" l="1"/>
  <c r="A132"/>
  <c r="A148" l="1"/>
  <c r="A25" l="1"/>
  <c r="A164"/>
  <c r="A166" l="1"/>
  <c r="A11" l="1"/>
  <c r="F128" i="91" l="1"/>
  <c r="B9" i="78"/>
  <c r="E9"/>
  <c r="F104" i="91"/>
  <c r="H130" l="1"/>
  <c r="I130" s="1"/>
  <c r="L47" i="78"/>
  <c r="M47" s="1"/>
  <c r="G47"/>
  <c r="G30"/>
  <c r="L30"/>
  <c r="M30" s="1"/>
  <c r="L18"/>
  <c r="M18" s="1"/>
  <c r="G18"/>
  <c r="L20"/>
  <c r="M20" s="1"/>
  <c r="G20"/>
  <c r="L15"/>
  <c r="M15" s="1"/>
  <c r="L16"/>
  <c r="M16" s="1"/>
  <c r="L17"/>
  <c r="M17" s="1"/>
  <c r="G15"/>
  <c r="G16"/>
  <c r="G17"/>
  <c r="L9" l="1"/>
  <c r="D24" i="79"/>
  <c r="D9"/>
  <c r="H120" i="91"/>
  <c r="H104"/>
  <c r="F73"/>
  <c r="F90"/>
  <c r="H93"/>
  <c r="I93" s="1"/>
  <c r="F88"/>
  <c r="F87"/>
  <c r="H27"/>
  <c r="I27" s="1"/>
  <c r="H128"/>
  <c r="I128" s="1"/>
  <c r="H126"/>
  <c r="I126" s="1"/>
  <c r="H124"/>
  <c r="I124" s="1"/>
  <c r="H122"/>
  <c r="I122" s="1"/>
  <c r="H118"/>
  <c r="I118" s="1"/>
  <c r="I116"/>
  <c r="H116"/>
  <c r="H114"/>
  <c r="I114" s="1"/>
  <c r="H112"/>
  <c r="I112" s="1"/>
  <c r="H110"/>
  <c r="I110" s="1"/>
  <c r="H108"/>
  <c r="I108" s="1"/>
  <c r="H106"/>
  <c r="I106" s="1"/>
  <c r="H102"/>
  <c r="I102" s="1"/>
  <c r="H97"/>
  <c r="I97" s="1"/>
  <c r="H78"/>
  <c r="H95"/>
  <c r="I95" s="1"/>
  <c r="F91"/>
  <c r="F67"/>
  <c r="F66"/>
  <c r="F65" l="1"/>
  <c r="H70"/>
  <c r="I70" s="1"/>
  <c r="H68"/>
  <c r="I68" s="1"/>
  <c r="H67"/>
  <c r="H66"/>
  <c r="F59" l="1"/>
  <c r="F51"/>
  <c r="F46"/>
  <c r="F26"/>
  <c r="F7"/>
  <c r="F5" s="1"/>
  <c r="H29"/>
  <c r="I29" s="1"/>
  <c r="I120"/>
  <c r="F92"/>
  <c r="H91"/>
  <c r="I91" s="1"/>
  <c r="H88"/>
  <c r="H87"/>
  <c r="F83"/>
  <c r="H83" s="1"/>
  <c r="H80"/>
  <c r="H75"/>
  <c r="H57"/>
  <c r="I57" s="1"/>
  <c r="H55"/>
  <c r="I55" s="1"/>
  <c r="H53"/>
  <c r="I53" s="1"/>
  <c r="H49"/>
  <c r="I49" s="1"/>
  <c r="H47"/>
  <c r="I47" s="1"/>
  <c r="H44"/>
  <c r="I44" s="1"/>
  <c r="H43"/>
  <c r="I43" s="1"/>
  <c r="F42"/>
  <c r="F37" s="1"/>
  <c r="H41"/>
  <c r="I41" s="1"/>
  <c r="H40"/>
  <c r="I40" s="1"/>
  <c r="H39"/>
  <c r="I39" s="1"/>
  <c r="H34"/>
  <c r="I34" s="1"/>
  <c r="H31"/>
  <c r="I31" s="1"/>
  <c r="H24"/>
  <c r="I24" s="1"/>
  <c r="H22"/>
  <c r="I22" s="1"/>
  <c r="H20"/>
  <c r="I20" s="1"/>
  <c r="H18"/>
  <c r="I18" s="1"/>
  <c r="H16"/>
  <c r="I16" s="1"/>
  <c r="H14"/>
  <c r="I14" s="1"/>
  <c r="H12"/>
  <c r="I12" s="1"/>
  <c r="H10"/>
  <c r="I10" s="1"/>
  <c r="H92" l="1"/>
  <c r="I92" s="1"/>
  <c r="I88"/>
  <c r="H42"/>
  <c r="I42" s="1"/>
  <c r="F86"/>
  <c r="I83"/>
  <c r="I87"/>
  <c r="U45" i="85" l="1"/>
  <c r="U35"/>
  <c r="U44"/>
  <c r="U34"/>
  <c r="U22"/>
  <c r="AH22"/>
  <c r="AH35" l="1"/>
  <c r="U11"/>
  <c r="AH11"/>
  <c r="D64" i="77"/>
  <c r="D29"/>
  <c r="D27"/>
  <c r="D26"/>
  <c r="D99"/>
  <c r="D59"/>
  <c r="D54"/>
  <c r="D51"/>
  <c r="D10"/>
  <c r="U62" i="85" l="1"/>
  <c r="U56"/>
  <c r="U46"/>
  <c r="U26"/>
  <c r="U24"/>
  <c r="F85" i="78" l="1"/>
  <c r="E85"/>
  <c r="D85"/>
  <c r="B85"/>
  <c r="G84"/>
  <c r="G85" s="1"/>
  <c r="F61"/>
  <c r="E61"/>
  <c r="D61"/>
  <c r="B61"/>
  <c r="G60"/>
  <c r="G61" s="1"/>
  <c r="F38"/>
  <c r="E38"/>
  <c r="D38"/>
  <c r="B38"/>
  <c r="L37"/>
  <c r="M37" s="1"/>
  <c r="G37"/>
  <c r="G38" s="1"/>
  <c r="H16" i="72"/>
  <c r="H26"/>
  <c r="H36" l="1"/>
  <c r="U6" i="85" l="1"/>
  <c r="I32" i="73" l="1"/>
  <c r="I33"/>
  <c r="I34"/>
  <c r="I35"/>
  <c r="I36"/>
  <c r="I28" l="1"/>
  <c r="I29"/>
  <c r="I30"/>
  <c r="I31"/>
  <c r="I37"/>
  <c r="I38"/>
  <c r="I40"/>
  <c r="D13" l="1"/>
  <c r="F67" i="78" l="1"/>
  <c r="E67"/>
  <c r="D67"/>
  <c r="B67"/>
  <c r="L66"/>
  <c r="M66" s="1"/>
  <c r="G66"/>
  <c r="L40"/>
  <c r="M40" s="1"/>
  <c r="G40"/>
  <c r="F49"/>
  <c r="E49"/>
  <c r="D49"/>
  <c r="F32"/>
  <c r="E32"/>
  <c r="D32"/>
  <c r="B32"/>
  <c r="L31"/>
  <c r="M31" s="1"/>
  <c r="G31"/>
  <c r="G14"/>
  <c r="L14"/>
  <c r="M14" s="1"/>
  <c r="G29"/>
  <c r="F58"/>
  <c r="E58"/>
  <c r="D58"/>
  <c r="B58"/>
  <c r="L57"/>
  <c r="M57" s="1"/>
  <c r="G57"/>
  <c r="G46"/>
  <c r="L46"/>
  <c r="M46" s="1"/>
  <c r="G32" l="1"/>
  <c r="B49"/>
  <c r="J127" i="116" l="1"/>
  <c r="J110" s="1"/>
  <c r="J116" s="1"/>
  <c r="C127"/>
  <c r="C110" s="1"/>
  <c r="C116" s="1"/>
  <c r="G312"/>
  <c r="F327"/>
  <c r="E327"/>
  <c r="E310" s="1"/>
  <c r="E316" s="1"/>
  <c r="C327"/>
  <c r="C310" s="1"/>
  <c r="C316" s="1"/>
  <c r="B327"/>
  <c r="G326"/>
  <c r="G325"/>
  <c r="D327"/>
  <c r="D310" s="1"/>
  <c r="D316" s="1"/>
  <c r="G323"/>
  <c r="G322"/>
  <c r="G321"/>
  <c r="G320"/>
  <c r="G319"/>
  <c r="G315"/>
  <c r="G314"/>
  <c r="G313"/>
  <c r="G311"/>
  <c r="F310"/>
  <c r="F316" s="1"/>
  <c r="B310"/>
  <c r="J152"/>
  <c r="J135" s="1"/>
  <c r="J141" s="1"/>
  <c r="N152"/>
  <c r="N135" s="1"/>
  <c r="N141" s="1"/>
  <c r="M152"/>
  <c r="M135" s="1"/>
  <c r="M141" s="1"/>
  <c r="K152"/>
  <c r="O151"/>
  <c r="O150"/>
  <c r="O149"/>
  <c r="O148"/>
  <c r="O147"/>
  <c r="L152"/>
  <c r="L135" s="1"/>
  <c r="L141" s="1"/>
  <c r="O145"/>
  <c r="O144"/>
  <c r="O140"/>
  <c r="O139"/>
  <c r="O138"/>
  <c r="O137"/>
  <c r="O136"/>
  <c r="D152"/>
  <c r="D135" s="1"/>
  <c r="D141" s="1"/>
  <c r="B152"/>
  <c r="B135" s="1"/>
  <c r="B141" s="1"/>
  <c r="F152"/>
  <c r="F135" s="1"/>
  <c r="F141" s="1"/>
  <c r="E152"/>
  <c r="E135" s="1"/>
  <c r="E141" s="1"/>
  <c r="C152"/>
  <c r="C135" s="1"/>
  <c r="C141" s="1"/>
  <c r="G151"/>
  <c r="G150"/>
  <c r="G149"/>
  <c r="G148"/>
  <c r="G147"/>
  <c r="G145"/>
  <c r="G144"/>
  <c r="G140"/>
  <c r="G139"/>
  <c r="G138"/>
  <c r="G137"/>
  <c r="G136"/>
  <c r="N127"/>
  <c r="N110" s="1"/>
  <c r="N116" s="1"/>
  <c r="K127"/>
  <c r="K110" s="1"/>
  <c r="K116" s="1"/>
  <c r="O126"/>
  <c r="O125"/>
  <c r="O124"/>
  <c r="O123"/>
  <c r="O122"/>
  <c r="O121"/>
  <c r="O120"/>
  <c r="M127"/>
  <c r="M110" s="1"/>
  <c r="M116" s="1"/>
  <c r="L127"/>
  <c r="L110" s="1"/>
  <c r="L116" s="1"/>
  <c r="O115"/>
  <c r="O114"/>
  <c r="O113"/>
  <c r="O112"/>
  <c r="O111"/>
  <c r="G121"/>
  <c r="F127"/>
  <c r="F110" s="1"/>
  <c r="F116" s="1"/>
  <c r="E127"/>
  <c r="E110" s="1"/>
  <c r="E116" s="1"/>
  <c r="D127"/>
  <c r="D110" s="1"/>
  <c r="D116" s="1"/>
  <c r="G126"/>
  <c r="G125"/>
  <c r="G124"/>
  <c r="G123"/>
  <c r="G122"/>
  <c r="G120"/>
  <c r="G115"/>
  <c r="G114"/>
  <c r="G113"/>
  <c r="G112"/>
  <c r="G111"/>
  <c r="O96"/>
  <c r="N102"/>
  <c r="N85" s="1"/>
  <c r="N91" s="1"/>
  <c r="M102"/>
  <c r="M85" s="1"/>
  <c r="M91" s="1"/>
  <c r="K102"/>
  <c r="K85" s="1"/>
  <c r="K91" s="1"/>
  <c r="O101"/>
  <c r="O100"/>
  <c r="O99"/>
  <c r="O98"/>
  <c r="O97"/>
  <c r="L102"/>
  <c r="L85" s="1"/>
  <c r="L91" s="1"/>
  <c r="O95"/>
  <c r="O94"/>
  <c r="O90"/>
  <c r="O89"/>
  <c r="O88"/>
  <c r="O87"/>
  <c r="O86"/>
  <c r="C102"/>
  <c r="C85" s="1"/>
  <c r="C91" s="1"/>
  <c r="G99"/>
  <c r="G96"/>
  <c r="F102"/>
  <c r="F85" s="1"/>
  <c r="F91" s="1"/>
  <c r="E102"/>
  <c r="E85" s="1"/>
  <c r="E91" s="1"/>
  <c r="G101"/>
  <c r="G100"/>
  <c r="G98"/>
  <c r="G97"/>
  <c r="D102"/>
  <c r="D85" s="1"/>
  <c r="D91" s="1"/>
  <c r="G95"/>
  <c r="G94"/>
  <c r="G90"/>
  <c r="G89"/>
  <c r="G88"/>
  <c r="G87"/>
  <c r="G86"/>
  <c r="K77"/>
  <c r="K60" s="1"/>
  <c r="K66" s="1"/>
  <c r="J77"/>
  <c r="J60" s="1"/>
  <c r="J66" s="1"/>
  <c r="N77"/>
  <c r="N60" s="1"/>
  <c r="N66" s="1"/>
  <c r="M77"/>
  <c r="M60" s="1"/>
  <c r="M66" s="1"/>
  <c r="O76"/>
  <c r="O75"/>
  <c r="O73"/>
  <c r="O72"/>
  <c r="L77"/>
  <c r="L60" s="1"/>
  <c r="L66" s="1"/>
  <c r="O70"/>
  <c r="O69"/>
  <c r="O65"/>
  <c r="O64"/>
  <c r="O63"/>
  <c r="O62"/>
  <c r="O61"/>
  <c r="G62"/>
  <c r="B77"/>
  <c r="F77"/>
  <c r="F60" s="1"/>
  <c r="F66" s="1"/>
  <c r="E77"/>
  <c r="E60" s="1"/>
  <c r="E66" s="1"/>
  <c r="C77"/>
  <c r="C60" s="1"/>
  <c r="C66" s="1"/>
  <c r="G76"/>
  <c r="G75"/>
  <c r="D77"/>
  <c r="D60" s="1"/>
  <c r="D66" s="1"/>
  <c r="G73"/>
  <c r="G72"/>
  <c r="G70"/>
  <c r="G69"/>
  <c r="G65"/>
  <c r="G64"/>
  <c r="G63"/>
  <c r="G61"/>
  <c r="K52"/>
  <c r="K35" s="1"/>
  <c r="K41" s="1"/>
  <c r="O46"/>
  <c r="N327"/>
  <c r="N310" s="1"/>
  <c r="M327"/>
  <c r="M310" s="1"/>
  <c r="L327"/>
  <c r="L310" s="1"/>
  <c r="K327"/>
  <c r="K310" s="1"/>
  <c r="K316" s="1"/>
  <c r="J327"/>
  <c r="J310" s="1"/>
  <c r="N52"/>
  <c r="N35" s="1"/>
  <c r="N41" s="1"/>
  <c r="M52"/>
  <c r="M35" s="1"/>
  <c r="M41" s="1"/>
  <c r="L52"/>
  <c r="L35" s="1"/>
  <c r="L41" s="1"/>
  <c r="F52"/>
  <c r="F35" s="1"/>
  <c r="E52"/>
  <c r="E35" s="1"/>
  <c r="D52"/>
  <c r="D35" s="1"/>
  <c r="B52"/>
  <c r="B35" s="1"/>
  <c r="C335"/>
  <c r="O51"/>
  <c r="O49"/>
  <c r="O48"/>
  <c r="O47"/>
  <c r="O45"/>
  <c r="O44"/>
  <c r="O40"/>
  <c r="O39"/>
  <c r="O38"/>
  <c r="O37"/>
  <c r="O36"/>
  <c r="C52"/>
  <c r="C35" s="1"/>
  <c r="K135" l="1"/>
  <c r="K141" s="1"/>
  <c r="B316"/>
  <c r="J102"/>
  <c r="J85" s="1"/>
  <c r="J91" s="1"/>
  <c r="B60"/>
  <c r="B66" s="1"/>
  <c r="O50"/>
  <c r="O52" s="1"/>
  <c r="O35" s="1"/>
  <c r="O41" s="1"/>
  <c r="J52"/>
  <c r="J35" s="1"/>
  <c r="J41" s="1"/>
  <c r="O71"/>
  <c r="B102"/>
  <c r="B85" s="1"/>
  <c r="B91" s="1"/>
  <c r="B127"/>
  <c r="B110" s="1"/>
  <c r="B116" s="1"/>
  <c r="G324"/>
  <c r="G327" s="1"/>
  <c r="G310" s="1"/>
  <c r="G316" s="1"/>
  <c r="O146"/>
  <c r="O152" s="1"/>
  <c r="O135" s="1"/>
  <c r="O141" s="1"/>
  <c r="G146"/>
  <c r="G152" s="1"/>
  <c r="G135" s="1"/>
  <c r="G141" s="1"/>
  <c r="O119"/>
  <c r="O127" s="1"/>
  <c r="O110" s="1"/>
  <c r="O116" s="1"/>
  <c r="G119"/>
  <c r="G127" s="1"/>
  <c r="G110" s="1"/>
  <c r="G116" s="1"/>
  <c r="O102"/>
  <c r="O85" s="1"/>
  <c r="O91" s="1"/>
  <c r="G102"/>
  <c r="G85" s="1"/>
  <c r="G91" s="1"/>
  <c r="O74"/>
  <c r="G71"/>
  <c r="G74"/>
  <c r="O77" l="1"/>
  <c r="O60" s="1"/>
  <c r="O66" s="1"/>
  <c r="G77"/>
  <c r="G60" s="1"/>
  <c r="G66" s="1"/>
  <c r="F41"/>
  <c r="E41"/>
  <c r="D41"/>
  <c r="B41"/>
  <c r="C41"/>
  <c r="G51"/>
  <c r="G50"/>
  <c r="G49"/>
  <c r="G48"/>
  <c r="G47"/>
  <c r="G46"/>
  <c r="G45"/>
  <c r="G44"/>
  <c r="G40"/>
  <c r="G39"/>
  <c r="G38"/>
  <c r="G37"/>
  <c r="G36"/>
  <c r="G52" l="1"/>
  <c r="G35" s="1"/>
  <c r="G41" s="1"/>
  <c r="F27" l="1"/>
  <c r="F10" s="1"/>
  <c r="F16" s="1"/>
  <c r="E27"/>
  <c r="E10" s="1"/>
  <c r="E16" s="1"/>
  <c r="D27"/>
  <c r="C27"/>
  <c r="C10" s="1"/>
  <c r="C16" s="1"/>
  <c r="K27"/>
  <c r="F335"/>
  <c r="E335"/>
  <c r="D335"/>
  <c r="B335"/>
  <c r="G333"/>
  <c r="G335" s="1"/>
  <c r="M316"/>
  <c r="J316"/>
  <c r="O326"/>
  <c r="O325"/>
  <c r="O323"/>
  <c r="O322"/>
  <c r="O321"/>
  <c r="O320"/>
  <c r="O319"/>
  <c r="O315"/>
  <c r="O314"/>
  <c r="O313"/>
  <c r="O312"/>
  <c r="O311"/>
  <c r="N316"/>
  <c r="N27"/>
  <c r="N10" s="1"/>
  <c r="N16" s="1"/>
  <c r="M27"/>
  <c r="M10" s="1"/>
  <c r="M16" s="1"/>
  <c r="L27"/>
  <c r="J27"/>
  <c r="O26"/>
  <c r="G26"/>
  <c r="O25"/>
  <c r="O24"/>
  <c r="O23"/>
  <c r="G23"/>
  <c r="O22"/>
  <c r="O21"/>
  <c r="G21"/>
  <c r="O20"/>
  <c r="G20"/>
  <c r="O19"/>
  <c r="O15"/>
  <c r="G15"/>
  <c r="O14"/>
  <c r="G14"/>
  <c r="O13"/>
  <c r="G13"/>
  <c r="O12"/>
  <c r="G12"/>
  <c r="O11"/>
  <c r="G11"/>
  <c r="L10"/>
  <c r="L16" s="1"/>
  <c r="J10"/>
  <c r="K10" l="1"/>
  <c r="K16" s="1"/>
  <c r="Q327"/>
  <c r="D10"/>
  <c r="D16" s="1"/>
  <c r="U327"/>
  <c r="J16"/>
  <c r="B27"/>
  <c r="B10" s="1"/>
  <c r="B16" s="1"/>
  <c r="O324"/>
  <c r="O327" s="1"/>
  <c r="O310" s="1"/>
  <c r="O27"/>
  <c r="O10" s="1"/>
  <c r="O16" s="1"/>
  <c r="L316"/>
  <c r="G19"/>
  <c r="G22"/>
  <c r="G24"/>
  <c r="G25"/>
  <c r="U328" l="1"/>
  <c r="V327"/>
  <c r="W327" s="1"/>
  <c r="Q310"/>
  <c r="G27"/>
  <c r="G10" s="1"/>
  <c r="G16" s="1"/>
  <c r="O316"/>
  <c r="D12" i="74" l="1"/>
  <c r="D25" s="1"/>
  <c r="D23" i="89" l="1"/>
  <c r="D21"/>
  <c r="I20"/>
  <c r="D63" i="77"/>
  <c r="U36" i="85" s="1"/>
  <c r="D31" i="77"/>
  <c r="D38"/>
  <c r="D34" s="1"/>
  <c r="A169" i="84" l="1"/>
  <c r="A170" s="1"/>
  <c r="F36" i="90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4"/>
  <c r="E14"/>
  <c r="D14"/>
  <c r="F12"/>
  <c r="E12"/>
  <c r="D12"/>
  <c r="E11"/>
  <c r="D11"/>
  <c r="G16" i="72"/>
  <c r="G26"/>
  <c r="G36" l="1"/>
  <c r="E17" i="90"/>
  <c r="D17"/>
  <c r="D27"/>
  <c r="F27"/>
  <c r="E27"/>
  <c r="F17"/>
  <c r="F37" s="1"/>
  <c r="A171" i="84"/>
  <c r="E37" i="90" l="1"/>
  <c r="D37"/>
  <c r="A172" i="84"/>
  <c r="A173" l="1"/>
  <c r="G103" i="76"/>
  <c r="A174" i="84" l="1"/>
  <c r="Z5" i="75"/>
  <c r="X5"/>
  <c r="W5"/>
  <c r="AB9"/>
  <c r="A175" i="84" l="1"/>
  <c r="A176" l="1"/>
  <c r="A177" l="1"/>
  <c r="A178" l="1"/>
  <c r="A179" l="1"/>
  <c r="A180" l="1"/>
  <c r="A181" l="1"/>
  <c r="A182" l="1"/>
  <c r="D18" i="79"/>
  <c r="A183" i="84" l="1"/>
  <c r="A184" l="1"/>
  <c r="A185" l="1"/>
  <c r="A186" l="1"/>
  <c r="A187" l="1"/>
  <c r="A188" l="1"/>
  <c r="A189" l="1"/>
  <c r="A190" l="1"/>
  <c r="A191" l="1"/>
  <c r="A192" l="1"/>
  <c r="A193" l="1"/>
  <c r="A194" l="1"/>
  <c r="A195" l="1"/>
  <c r="A196" l="1"/>
  <c r="D179" i="76"/>
  <c r="D178" s="1"/>
  <c r="A197" i="84" l="1"/>
  <c r="A198" l="1"/>
  <c r="A199" l="1"/>
  <c r="A200" l="1"/>
  <c r="A201" l="1"/>
  <c r="A202" l="1"/>
  <c r="A203" l="1"/>
  <c r="A204" l="1"/>
  <c r="A205" l="1"/>
  <c r="A206" l="1"/>
  <c r="A207" l="1"/>
  <c r="A208" l="1"/>
  <c r="A209" l="1"/>
  <c r="A210" l="1"/>
  <c r="A211" l="1"/>
  <c r="A212" l="1"/>
  <c r="A213" l="1"/>
  <c r="A214" l="1"/>
  <c r="A215" l="1"/>
  <c r="D21" i="70"/>
  <c r="B24"/>
  <c r="A216" i="84" l="1"/>
  <c r="A217" l="1"/>
  <c r="A218" l="1"/>
  <c r="A219" l="1"/>
  <c r="A220" l="1"/>
  <c r="A221" l="1"/>
  <c r="A222" l="1"/>
  <c r="A223" l="1"/>
  <c r="A224" l="1"/>
  <c r="A225" l="1"/>
  <c r="A226" l="1"/>
  <c r="A227" l="1"/>
  <c r="A228" s="1"/>
  <c r="A229" l="1"/>
  <c r="A230" l="1"/>
  <c r="A231" l="1"/>
  <c r="A232" l="1"/>
  <c r="A233" l="1"/>
  <c r="G11" i="72"/>
  <c r="H11" s="1"/>
  <c r="I11" s="1"/>
  <c r="D10" i="79"/>
  <c r="A234" i="84" l="1"/>
  <c r="A235" l="1"/>
  <c r="A236" l="1"/>
  <c r="A237" l="1"/>
  <c r="A238" l="1"/>
  <c r="A239" l="1"/>
  <c r="A240" s="1"/>
  <c r="A242" s="1"/>
  <c r="A243" s="1"/>
  <c r="A244" s="1"/>
  <c r="A245" s="1"/>
  <c r="A246" s="1"/>
  <c r="A247" s="1"/>
  <c r="A249" s="1"/>
  <c r="A253" s="1"/>
  <c r="A254" s="1"/>
  <c r="A255" l="1"/>
  <c r="A256" l="1"/>
  <c r="A257" l="1"/>
  <c r="A259" l="1"/>
  <c r="A260" l="1"/>
  <c r="A261" l="1"/>
  <c r="A263" l="1"/>
  <c r="A264" l="1"/>
  <c r="A265" l="1"/>
  <c r="A266" l="1"/>
  <c r="A267" l="1"/>
  <c r="A268" l="1"/>
  <c r="A269" l="1"/>
  <c r="A273" l="1"/>
  <c r="A274" l="1"/>
  <c r="A275" l="1"/>
  <c r="A276" l="1"/>
  <c r="A277" l="1"/>
  <c r="L13" i="78"/>
  <c r="M13" s="1"/>
  <c r="G13"/>
  <c r="A278" i="84" l="1"/>
  <c r="A280" l="1"/>
  <c r="A282" l="1"/>
  <c r="A286" l="1"/>
  <c r="L10" i="78"/>
  <c r="M10" s="1"/>
  <c r="G10"/>
  <c r="L11"/>
  <c r="M11" s="1"/>
  <c r="G11"/>
  <c r="L12"/>
  <c r="M12" s="1"/>
  <c r="G12"/>
  <c r="M9"/>
  <c r="G9"/>
  <c r="A287" i="84" l="1"/>
  <c r="A288" l="1"/>
  <c r="A289" l="1"/>
  <c r="A290" l="1"/>
  <c r="A292" l="1"/>
  <c r="A294" l="1"/>
  <c r="A298" l="1"/>
  <c r="A300" l="1"/>
  <c r="A301" l="1"/>
  <c r="A303" l="1"/>
  <c r="A307" l="1"/>
  <c r="A308" l="1"/>
  <c r="A309" l="1"/>
  <c r="A310" l="1"/>
  <c r="A311" l="1"/>
  <c r="A313" l="1"/>
  <c r="A315" l="1"/>
  <c r="G48" i="78"/>
  <c r="G49" s="1"/>
  <c r="D19" i="89" l="1"/>
  <c r="D18"/>
  <c r="D8"/>
  <c r="D10"/>
  <c r="J8"/>
  <c r="J12" s="1"/>
  <c r="D14"/>
  <c r="J19"/>
  <c r="J18"/>
  <c r="K19"/>
  <c r="K18"/>
  <c r="K17"/>
  <c r="J16"/>
  <c r="I16"/>
  <c r="K15"/>
  <c r="K14"/>
  <c r="K13"/>
  <c r="J20" l="1"/>
  <c r="K20"/>
  <c r="K16"/>
  <c r="K9"/>
  <c r="K10"/>
  <c r="K11"/>
  <c r="K8"/>
  <c r="I12"/>
  <c r="K12" s="1"/>
  <c r="L9"/>
  <c r="L10"/>
  <c r="L11"/>
  <c r="L13"/>
  <c r="L14"/>
  <c r="L15"/>
  <c r="L17"/>
  <c r="L18"/>
  <c r="L19"/>
  <c r="L8"/>
  <c r="R26" i="72"/>
  <c r="R16"/>
  <c r="S26"/>
  <c r="S16"/>
  <c r="J26"/>
  <c r="J16"/>
  <c r="K26"/>
  <c r="K16"/>
  <c r="L26"/>
  <c r="L16"/>
  <c r="M26"/>
  <c r="M16"/>
  <c r="N26"/>
  <c r="N16"/>
  <c r="O26"/>
  <c r="O16"/>
  <c r="P26"/>
  <c r="P16"/>
  <c r="Q26"/>
  <c r="Q16"/>
  <c r="I42" i="73"/>
  <c r="F41" i="78"/>
  <c r="E41"/>
  <c r="D41"/>
  <c r="B41"/>
  <c r="L29"/>
  <c r="L26"/>
  <c r="D101" i="77"/>
  <c r="D58"/>
  <c r="D66" s="1"/>
  <c r="R36" i="72" l="1"/>
  <c r="K36"/>
  <c r="S36"/>
  <c r="J36"/>
  <c r="Q36"/>
  <c r="M36"/>
  <c r="O36"/>
  <c r="P36"/>
  <c r="N36"/>
  <c r="L36"/>
  <c r="C12" i="74" l="1"/>
  <c r="C25" s="1"/>
  <c r="D8" i="72"/>
  <c r="D9" i="90" l="1"/>
  <c r="E8" i="72"/>
  <c r="F8" s="1"/>
  <c r="D57" i="70"/>
  <c r="F57" s="1"/>
  <c r="H57" s="1"/>
  <c r="D56"/>
  <c r="F61"/>
  <c r="F60" s="1"/>
  <c r="E60"/>
  <c r="D60"/>
  <c r="C60"/>
  <c r="B60"/>
  <c r="F59"/>
  <c r="F58" s="1"/>
  <c r="E58"/>
  <c r="D58"/>
  <c r="C58"/>
  <c r="B58"/>
  <c r="E55"/>
  <c r="C55"/>
  <c r="B49"/>
  <c r="F52"/>
  <c r="H52" s="1"/>
  <c r="E51"/>
  <c r="D51"/>
  <c r="C51"/>
  <c r="B51"/>
  <c r="E49"/>
  <c r="C49"/>
  <c r="F48"/>
  <c r="F47" s="1"/>
  <c r="E47"/>
  <c r="D47"/>
  <c r="C47"/>
  <c r="B47"/>
  <c r="E37"/>
  <c r="C37"/>
  <c r="D40"/>
  <c r="D39"/>
  <c r="F39" s="1"/>
  <c r="H39" s="1"/>
  <c r="D38"/>
  <c r="F38" s="1"/>
  <c r="H38" s="1"/>
  <c r="F44"/>
  <c r="H44" s="1"/>
  <c r="E43"/>
  <c r="D43"/>
  <c r="C43"/>
  <c r="B43"/>
  <c r="F42"/>
  <c r="F41" s="1"/>
  <c r="E41"/>
  <c r="D41"/>
  <c r="C41"/>
  <c r="B41"/>
  <c r="D30"/>
  <c r="F30" s="1"/>
  <c r="D29"/>
  <c r="F29" s="1"/>
  <c r="E28"/>
  <c r="C28"/>
  <c r="F34"/>
  <c r="H34" s="1"/>
  <c r="E33"/>
  <c r="D33"/>
  <c r="C33"/>
  <c r="B33"/>
  <c r="F32"/>
  <c r="F31" s="1"/>
  <c r="E31"/>
  <c r="D31"/>
  <c r="C31"/>
  <c r="B31"/>
  <c r="H42" l="1"/>
  <c r="H48"/>
  <c r="C62"/>
  <c r="H58"/>
  <c r="E62"/>
  <c r="H61"/>
  <c r="H60"/>
  <c r="H32"/>
  <c r="H59"/>
  <c r="D55"/>
  <c r="D62" s="1"/>
  <c r="F56"/>
  <c r="B55"/>
  <c r="B62" s="1"/>
  <c r="D50"/>
  <c r="F51"/>
  <c r="B37"/>
  <c r="D37"/>
  <c r="F40"/>
  <c r="F37" s="1"/>
  <c r="F43"/>
  <c r="D28"/>
  <c r="F28"/>
  <c r="H29"/>
  <c r="B28"/>
  <c r="H30"/>
  <c r="F33"/>
  <c r="F55" l="1"/>
  <c r="H56"/>
  <c r="F50"/>
  <c r="D49"/>
  <c r="H40"/>
  <c r="F62" l="1"/>
  <c r="H62" s="1"/>
  <c r="H55"/>
  <c r="H50"/>
  <c r="F49"/>
  <c r="F233" i="109"/>
  <c r="E233"/>
  <c r="D233"/>
  <c r="M29" i="78"/>
  <c r="L34"/>
  <c r="M34" s="1"/>
  <c r="L48"/>
  <c r="M48" s="1"/>
  <c r="D17" i="79"/>
  <c r="G58" i="78"/>
  <c r="G90"/>
  <c r="G91" s="1"/>
  <c r="G63"/>
  <c r="G64" s="1"/>
  <c r="G51"/>
  <c r="G52" s="1"/>
  <c r="G41"/>
  <c r="G67"/>
  <c r="F21"/>
  <c r="E21"/>
  <c r="D21"/>
  <c r="B21"/>
  <c r="D17" i="70"/>
  <c r="A7" i="85"/>
  <c r="U7" s="1"/>
  <c r="D133" i="77"/>
  <c r="D106"/>
  <c r="D131" s="1"/>
  <c r="H199" i="61"/>
  <c r="H184"/>
  <c r="H94"/>
  <c r="H79"/>
  <c r="C14" i="90"/>
  <c r="C18"/>
  <c r="C19"/>
  <c r="C20"/>
  <c r="C21"/>
  <c r="C22"/>
  <c r="C23"/>
  <c r="C24"/>
  <c r="C25"/>
  <c r="C26"/>
  <c r="C28"/>
  <c r="C29"/>
  <c r="C30"/>
  <c r="C31"/>
  <c r="C32"/>
  <c r="C33"/>
  <c r="C34"/>
  <c r="C35"/>
  <c r="C36"/>
  <c r="E8" i="89"/>
  <c r="F8" s="1"/>
  <c r="D9"/>
  <c r="E9" s="1"/>
  <c r="E10"/>
  <c r="F10" s="1"/>
  <c r="D11"/>
  <c r="E11" s="1"/>
  <c r="C12"/>
  <c r="L12" s="1"/>
  <c r="D13"/>
  <c r="E13" s="1"/>
  <c r="M13" s="1"/>
  <c r="E14"/>
  <c r="D15"/>
  <c r="E15" s="1"/>
  <c r="C16"/>
  <c r="L16" s="1"/>
  <c r="D17"/>
  <c r="E17" s="1"/>
  <c r="F17" s="1"/>
  <c r="E19"/>
  <c r="C20"/>
  <c r="L20" s="1"/>
  <c r="H13" i="88"/>
  <c r="H14"/>
  <c r="H15"/>
  <c r="H16"/>
  <c r="H17"/>
  <c r="H18"/>
  <c r="C19"/>
  <c r="D19"/>
  <c r="E19"/>
  <c r="F19"/>
  <c r="G19"/>
  <c r="A8" i="84"/>
  <c r="A9" s="1"/>
  <c r="D28" i="79"/>
  <c r="D32"/>
  <c r="G21" i="78"/>
  <c r="G23"/>
  <c r="G24" s="1"/>
  <c r="B24"/>
  <c r="D24"/>
  <c r="E24"/>
  <c r="F24"/>
  <c r="G26"/>
  <c r="G27" s="1"/>
  <c r="B27"/>
  <c r="D27"/>
  <c r="E27"/>
  <c r="F27"/>
  <c r="G34"/>
  <c r="G35" s="1"/>
  <c r="B35"/>
  <c r="D35"/>
  <c r="E35"/>
  <c r="F35"/>
  <c r="B52"/>
  <c r="D52"/>
  <c r="E52"/>
  <c r="F52"/>
  <c r="G54"/>
  <c r="G55" s="1"/>
  <c r="B55"/>
  <c r="D55"/>
  <c r="E55"/>
  <c r="F55"/>
  <c r="B64"/>
  <c r="D64"/>
  <c r="E64"/>
  <c r="F64"/>
  <c r="G72"/>
  <c r="G73" s="1"/>
  <c r="B73"/>
  <c r="D73"/>
  <c r="E73"/>
  <c r="F73"/>
  <c r="G75"/>
  <c r="G76" s="1"/>
  <c r="B76"/>
  <c r="D76"/>
  <c r="E76"/>
  <c r="F76"/>
  <c r="G78"/>
  <c r="G79" s="1"/>
  <c r="B79"/>
  <c r="D79"/>
  <c r="E79"/>
  <c r="F79"/>
  <c r="G81"/>
  <c r="G82" s="1"/>
  <c r="B82"/>
  <c r="D82"/>
  <c r="E82"/>
  <c r="F82"/>
  <c r="G87"/>
  <c r="G88" s="1"/>
  <c r="B88"/>
  <c r="D88"/>
  <c r="E88"/>
  <c r="F88"/>
  <c r="B91"/>
  <c r="D91"/>
  <c r="E91"/>
  <c r="F91"/>
  <c r="D11" i="77"/>
  <c r="D17"/>
  <c r="D12" i="76"/>
  <c r="D11" s="1"/>
  <c r="D25"/>
  <c r="D32"/>
  <c r="D44"/>
  <c r="D51"/>
  <c r="D58"/>
  <c r="D64"/>
  <c r="D224"/>
  <c r="E79"/>
  <c r="D88"/>
  <c r="D87" s="1"/>
  <c r="D86" s="1"/>
  <c r="E94"/>
  <c r="D230"/>
  <c r="D110"/>
  <c r="D116"/>
  <c r="D123"/>
  <c r="D146"/>
  <c r="D132" s="1"/>
  <c r="D150"/>
  <c r="D159"/>
  <c r="D165"/>
  <c r="D177"/>
  <c r="D227"/>
  <c r="D225" s="1"/>
  <c r="E184"/>
  <c r="D234"/>
  <c r="E199"/>
  <c r="D223"/>
  <c r="D226"/>
  <c r="D233"/>
  <c r="D232" s="1"/>
  <c r="D242"/>
  <c r="AB4" i="75"/>
  <c r="AB5"/>
  <c r="AB6"/>
  <c r="P7"/>
  <c r="AB7"/>
  <c r="P8"/>
  <c r="AB8"/>
  <c r="P9"/>
  <c r="AB10"/>
  <c r="P10"/>
  <c r="W11"/>
  <c r="X11"/>
  <c r="Y11"/>
  <c r="Z11"/>
  <c r="AA11"/>
  <c r="P11"/>
  <c r="P12"/>
  <c r="P13"/>
  <c r="P14"/>
  <c r="P15"/>
  <c r="D16"/>
  <c r="E16"/>
  <c r="F16"/>
  <c r="G16"/>
  <c r="H16"/>
  <c r="I16"/>
  <c r="J16"/>
  <c r="K16"/>
  <c r="L16"/>
  <c r="M16"/>
  <c r="N16"/>
  <c r="O16"/>
  <c r="P18"/>
  <c r="P19"/>
  <c r="P20"/>
  <c r="P21"/>
  <c r="P22"/>
  <c r="P23"/>
  <c r="P24"/>
  <c r="P25"/>
  <c r="P26"/>
  <c r="P27"/>
  <c r="D28"/>
  <c r="E28"/>
  <c r="F28"/>
  <c r="G28"/>
  <c r="H28"/>
  <c r="I28"/>
  <c r="J28"/>
  <c r="K28"/>
  <c r="L28"/>
  <c r="M28"/>
  <c r="N28"/>
  <c r="O28"/>
  <c r="D9" i="73"/>
  <c r="E9"/>
  <c r="F9"/>
  <c r="G9"/>
  <c r="H9"/>
  <c r="I10"/>
  <c r="I9" s="1"/>
  <c r="D11"/>
  <c r="E11"/>
  <c r="F11"/>
  <c r="G11"/>
  <c r="H11"/>
  <c r="I12"/>
  <c r="I11" s="1"/>
  <c r="E13"/>
  <c r="F13"/>
  <c r="G13"/>
  <c r="H13"/>
  <c r="I14"/>
  <c r="I13" s="1"/>
  <c r="D15"/>
  <c r="E15"/>
  <c r="F15"/>
  <c r="F46" s="1"/>
  <c r="G15"/>
  <c r="H15"/>
  <c r="I16"/>
  <c r="I45"/>
  <c r="I41" s="1"/>
  <c r="F10" i="72"/>
  <c r="F11" i="90" s="1"/>
  <c r="J11" i="72"/>
  <c r="K11" s="1"/>
  <c r="L11" s="1"/>
  <c r="M11" s="1"/>
  <c r="N11" s="1"/>
  <c r="O11" s="1"/>
  <c r="P11" s="1"/>
  <c r="Q11" s="1"/>
  <c r="R11" s="1"/>
  <c r="S11" s="1"/>
  <c r="T11" s="1"/>
  <c r="U11" s="1"/>
  <c r="C16"/>
  <c r="D16"/>
  <c r="E16"/>
  <c r="F16"/>
  <c r="I16"/>
  <c r="T16"/>
  <c r="U16"/>
  <c r="V17"/>
  <c r="V18"/>
  <c r="V19"/>
  <c r="V20"/>
  <c r="V21"/>
  <c r="V22"/>
  <c r="V23"/>
  <c r="V24"/>
  <c r="V25"/>
  <c r="C26"/>
  <c r="D26"/>
  <c r="E26"/>
  <c r="F26"/>
  <c r="F36" s="1"/>
  <c r="I26"/>
  <c r="T26"/>
  <c r="U26"/>
  <c r="V27"/>
  <c r="V28"/>
  <c r="V29"/>
  <c r="V30"/>
  <c r="V31"/>
  <c r="V32"/>
  <c r="V33"/>
  <c r="V34"/>
  <c r="V35"/>
  <c r="C50"/>
  <c r="D9" i="70"/>
  <c r="E9"/>
  <c r="C11"/>
  <c r="E11"/>
  <c r="B13"/>
  <c r="C13"/>
  <c r="D13"/>
  <c r="E13"/>
  <c r="F14"/>
  <c r="F13" s="1"/>
  <c r="C24"/>
  <c r="D24"/>
  <c r="E24"/>
  <c r="F25"/>
  <c r="F24" s="1"/>
  <c r="H24" s="1"/>
  <c r="H31"/>
  <c r="H33"/>
  <c r="C35"/>
  <c r="E35"/>
  <c r="B45"/>
  <c r="H41"/>
  <c r="H43"/>
  <c r="C45"/>
  <c r="E45"/>
  <c r="H47"/>
  <c r="C53"/>
  <c r="E53"/>
  <c r="C71"/>
  <c r="C75" s="1"/>
  <c r="C77" s="1"/>
  <c r="D71"/>
  <c r="D75" s="1"/>
  <c r="D77" s="1"/>
  <c r="C10" i="69"/>
  <c r="C12"/>
  <c r="C14"/>
  <c r="C15"/>
  <c r="H15"/>
  <c r="C16"/>
  <c r="H16"/>
  <c r="C17"/>
  <c r="H17"/>
  <c r="I25"/>
  <c r="J25"/>
  <c r="K25"/>
  <c r="D26"/>
  <c r="E26"/>
  <c r="F26"/>
  <c r="C12" i="68"/>
  <c r="C14"/>
  <c r="C16"/>
  <c r="C17"/>
  <c r="I25"/>
  <c r="J25"/>
  <c r="K25"/>
  <c r="D26"/>
  <c r="E26"/>
  <c r="F26"/>
  <c r="E233" i="97"/>
  <c r="E233" i="67"/>
  <c r="E233" i="66"/>
  <c r="F233"/>
  <c r="E233" i="65"/>
  <c r="F233"/>
  <c r="C240" i="67"/>
  <c r="H240" s="1"/>
  <c r="C139" i="97"/>
  <c r="H139" s="1"/>
  <c r="E230" i="66"/>
  <c r="C97"/>
  <c r="H97" s="1"/>
  <c r="F230"/>
  <c r="C201" i="97"/>
  <c r="H201" s="1"/>
  <c r="C90"/>
  <c r="H90" s="1"/>
  <c r="C206" i="66"/>
  <c r="H206" s="1"/>
  <c r="C198"/>
  <c r="H198" s="1"/>
  <c r="C139" i="67"/>
  <c r="H139" s="1"/>
  <c r="C204" i="97"/>
  <c r="H204" s="1"/>
  <c r="C93"/>
  <c r="H93" s="1"/>
  <c r="C196" i="67"/>
  <c r="H196" s="1"/>
  <c r="C204" i="64"/>
  <c r="H204" s="1"/>
  <c r="C195"/>
  <c r="H195" s="1"/>
  <c r="F194" i="67"/>
  <c r="F193" s="1"/>
  <c r="F192" s="1"/>
  <c r="F234"/>
  <c r="F234" i="97"/>
  <c r="C91" i="67"/>
  <c r="H91" s="1"/>
  <c r="D230"/>
  <c r="F194" i="66"/>
  <c r="F193" s="1"/>
  <c r="F192" s="1"/>
  <c r="C57"/>
  <c r="H57" s="1"/>
  <c r="C204" i="67"/>
  <c r="H204" s="1"/>
  <c r="C95" i="97"/>
  <c r="H95" s="1"/>
  <c r="D230"/>
  <c r="C151" i="66"/>
  <c r="H151" s="1"/>
  <c r="C99"/>
  <c r="H99" s="1"/>
  <c r="C95"/>
  <c r="H95" s="1"/>
  <c r="C90"/>
  <c r="H90" s="1"/>
  <c r="C57" i="67"/>
  <c r="H57" s="1"/>
  <c r="C204" i="65"/>
  <c r="H204" s="1"/>
  <c r="C196"/>
  <c r="H196" s="1"/>
  <c r="C95" i="67"/>
  <c r="H95" s="1"/>
  <c r="C240" i="97"/>
  <c r="H240" s="1"/>
  <c r="C196"/>
  <c r="H196" s="1"/>
  <c r="C93" i="67"/>
  <c r="H93" s="1"/>
  <c r="F194" i="65"/>
  <c r="F193" s="1"/>
  <c r="F192" s="1"/>
  <c r="C196" i="66"/>
  <c r="H196" s="1"/>
  <c r="C160"/>
  <c r="H160" s="1"/>
  <c r="C117"/>
  <c r="H117" s="1"/>
  <c r="C198" i="67"/>
  <c r="H198" s="1"/>
  <c r="C92"/>
  <c r="H92" s="1"/>
  <c r="C91" i="97"/>
  <c r="D230" i="66"/>
  <c r="C89"/>
  <c r="H89" s="1"/>
  <c r="C206" i="67"/>
  <c r="H206" s="1"/>
  <c r="C202"/>
  <c r="H202" s="1"/>
  <c r="E194"/>
  <c r="E193" s="1"/>
  <c r="E192" s="1"/>
  <c r="E234"/>
  <c r="E232" s="1"/>
  <c r="C92" i="97"/>
  <c r="H92" s="1"/>
  <c r="E234" i="66"/>
  <c r="C89" i="67"/>
  <c r="H89" s="1"/>
  <c r="C201" i="64"/>
  <c r="H201" s="1"/>
  <c r="C160" i="67"/>
  <c r="H160" s="1"/>
  <c r="C200" i="64"/>
  <c r="C233" s="1"/>
  <c r="D233"/>
  <c r="C198"/>
  <c r="H198" s="1"/>
  <c r="C200" i="65"/>
  <c r="C233" s="1"/>
  <c r="D233"/>
  <c r="D194"/>
  <c r="D193" s="1"/>
  <c r="D192" s="1"/>
  <c r="D233" i="97"/>
  <c r="D194"/>
  <c r="D193" s="1"/>
  <c r="D192" s="1"/>
  <c r="D233" i="67"/>
  <c r="C200"/>
  <c r="H200" s="1"/>
  <c r="C203" i="64"/>
  <c r="H203" s="1"/>
  <c r="C197"/>
  <c r="H197" s="1"/>
  <c r="C202" i="65"/>
  <c r="H202" s="1"/>
  <c r="E194"/>
  <c r="E193" s="1"/>
  <c r="E192" s="1"/>
  <c r="C205" i="66"/>
  <c r="H205" s="1"/>
  <c r="C197"/>
  <c r="H197" s="1"/>
  <c r="D233"/>
  <c r="C200"/>
  <c r="H200" s="1"/>
  <c r="E234" i="97"/>
  <c r="C89"/>
  <c r="H89" s="1"/>
  <c r="C206" i="64"/>
  <c r="H206" s="1"/>
  <c r="C202"/>
  <c r="H202" s="1"/>
  <c r="C196"/>
  <c r="H196" s="1"/>
  <c r="C201" i="65"/>
  <c r="H201" s="1"/>
  <c r="D194" i="66"/>
  <c r="D193" s="1"/>
  <c r="D192" s="1"/>
  <c r="C206" i="97"/>
  <c r="H206" s="1"/>
  <c r="C202"/>
  <c r="H202" s="1"/>
  <c r="C198"/>
  <c r="H198" s="1"/>
  <c r="C160"/>
  <c r="H160" s="1"/>
  <c r="C195" i="66"/>
  <c r="H195" s="1"/>
  <c r="D234" i="67"/>
  <c r="D234" i="97"/>
  <c r="C195"/>
  <c r="H195" s="1"/>
  <c r="C203" i="65"/>
  <c r="H203" s="1"/>
  <c r="C199"/>
  <c r="H199" s="1"/>
  <c r="C195"/>
  <c r="H195" s="1"/>
  <c r="C98"/>
  <c r="H98" s="1"/>
  <c r="C199" i="66"/>
  <c r="H199" s="1"/>
  <c r="C98"/>
  <c r="H98" s="1"/>
  <c r="C199" i="67"/>
  <c r="H199" s="1"/>
  <c r="C98"/>
  <c r="H98" s="1"/>
  <c r="C203" i="97"/>
  <c r="H203" s="1"/>
  <c r="C115" i="66"/>
  <c r="H115" s="1"/>
  <c r="C111"/>
  <c r="H111" s="1"/>
  <c r="C100"/>
  <c r="H100" s="1"/>
  <c r="C96"/>
  <c r="H96" s="1"/>
  <c r="C24"/>
  <c r="H24" s="1"/>
  <c r="C115" i="67"/>
  <c r="H115" s="1"/>
  <c r="C111"/>
  <c r="H111" s="1"/>
  <c r="C100"/>
  <c r="H100" s="1"/>
  <c r="C96"/>
  <c r="H96" s="1"/>
  <c r="C24"/>
  <c r="H24" s="1"/>
  <c r="C115" i="97"/>
  <c r="H115" s="1"/>
  <c r="C111"/>
  <c r="H111" s="1"/>
  <c r="C96"/>
  <c r="H96" s="1"/>
  <c r="C98"/>
  <c r="H98" s="1"/>
  <c r="H25" i="70"/>
  <c r="H14"/>
  <c r="B11"/>
  <c r="F12"/>
  <c r="F11" s="1"/>
  <c r="D11"/>
  <c r="D15" s="1"/>
  <c r="C205" i="65"/>
  <c r="H205" s="1"/>
  <c r="C197" i="67"/>
  <c r="D194"/>
  <c r="D193" s="1"/>
  <c r="D192" s="1"/>
  <c r="F234" i="65"/>
  <c r="C197"/>
  <c r="H197" s="1"/>
  <c r="F233" i="97"/>
  <c r="C200"/>
  <c r="C233" s="1"/>
  <c r="D234" i="65"/>
  <c r="C203" i="67"/>
  <c r="H203" s="1"/>
  <c r="D234" i="66"/>
  <c r="H29" i="75"/>
  <c r="K29"/>
  <c r="M29"/>
  <c r="D29"/>
  <c r="D30" s="1"/>
  <c r="O29"/>
  <c r="N29"/>
  <c r="L29"/>
  <c r="G29"/>
  <c r="AB11"/>
  <c r="J29"/>
  <c r="P28"/>
  <c r="P16"/>
  <c r="I15" i="73"/>
  <c r="G46"/>
  <c r="D149" i="76"/>
  <c r="D176" s="1"/>
  <c r="D50"/>
  <c r="D222"/>
  <c r="D194"/>
  <c r="D193" s="1"/>
  <c r="D192" s="1"/>
  <c r="D73"/>
  <c r="D72" s="1"/>
  <c r="D71" s="1"/>
  <c r="D231"/>
  <c r="D229" s="1"/>
  <c r="C9" i="90"/>
  <c r="C201" i="67" l="1"/>
  <c r="H201" s="1"/>
  <c r="C151"/>
  <c r="H151" s="1"/>
  <c r="C151" i="97"/>
  <c r="H151" s="1"/>
  <c r="F69" i="78"/>
  <c r="H12" i="70"/>
  <c r="G69" i="78"/>
  <c r="B69"/>
  <c r="D134" i="77"/>
  <c r="H11" i="70"/>
  <c r="E146" i="66"/>
  <c r="B93" i="78"/>
  <c r="E69"/>
  <c r="E43"/>
  <c r="D93"/>
  <c r="D43"/>
  <c r="E93"/>
  <c r="G43"/>
  <c r="H19" i="88"/>
  <c r="B43" i="78"/>
  <c r="F93"/>
  <c r="G93"/>
  <c r="D69"/>
  <c r="F43"/>
  <c r="T36" i="72"/>
  <c r="E36"/>
  <c r="H25" i="69"/>
  <c r="D67" i="77"/>
  <c r="E146" i="67"/>
  <c r="D24" i="61"/>
  <c r="F232" i="97"/>
  <c r="F9" i="90"/>
  <c r="E9"/>
  <c r="G13" i="72"/>
  <c r="H13" s="1"/>
  <c r="G10"/>
  <c r="H10" s="1"/>
  <c r="F151" i="61"/>
  <c r="D146" i="66"/>
  <c r="D132" s="1"/>
  <c r="I29" i="75"/>
  <c r="E29"/>
  <c r="E30" s="1"/>
  <c r="P29"/>
  <c r="P30" s="1"/>
  <c r="F29"/>
  <c r="D109" i="76"/>
  <c r="C148" i="67"/>
  <c r="H148" s="1"/>
  <c r="C148" i="97"/>
  <c r="H148" s="1"/>
  <c r="D206" i="61"/>
  <c r="F204"/>
  <c r="K30" i="69" s="1"/>
  <c r="E203" i="61"/>
  <c r="J29" i="69" s="1"/>
  <c r="D202" i="61"/>
  <c r="I28" i="69" s="1"/>
  <c r="F89" i="61"/>
  <c r="F21" i="69" s="1"/>
  <c r="E146" i="97"/>
  <c r="C26" i="69"/>
  <c r="F24" i="61"/>
  <c r="F10" i="68" s="1"/>
  <c r="F226" i="67"/>
  <c r="D226" i="109"/>
  <c r="F226"/>
  <c r="F226" i="97"/>
  <c r="E226" i="67"/>
  <c r="D146"/>
  <c r="C147" i="66"/>
  <c r="H147" s="1"/>
  <c r="C128" i="67"/>
  <c r="H128" s="1"/>
  <c r="D221" i="76"/>
  <c r="D228"/>
  <c r="F146" i="97"/>
  <c r="C26" i="68"/>
  <c r="H25"/>
  <c r="E15" i="70"/>
  <c r="D10" i="76"/>
  <c r="D70" s="1"/>
  <c r="D115" i="61"/>
  <c r="I12" i="68" s="1"/>
  <c r="I36" i="72"/>
  <c r="D207" i="76"/>
  <c r="C141" i="66"/>
  <c r="H141" s="1"/>
  <c r="C141" i="67"/>
  <c r="H141" s="1"/>
  <c r="C49" i="66"/>
  <c r="H49" s="1"/>
  <c r="C147" i="97"/>
  <c r="H147" s="1"/>
  <c r="C23" i="66"/>
  <c r="H23" s="1"/>
  <c r="C55" i="67"/>
  <c r="H55" s="1"/>
  <c r="C60"/>
  <c r="H60" s="1"/>
  <c r="C172" i="66"/>
  <c r="H172" s="1"/>
  <c r="C14"/>
  <c r="H14" s="1"/>
  <c r="C126"/>
  <c r="H126" s="1"/>
  <c r="C17"/>
  <c r="H17" s="1"/>
  <c r="C137"/>
  <c r="H137" s="1"/>
  <c r="C153"/>
  <c r="H153" s="1"/>
  <c r="C34"/>
  <c r="H34" s="1"/>
  <c r="C147" i="67"/>
  <c r="H147" s="1"/>
  <c r="C152"/>
  <c r="H152" s="1"/>
  <c r="C166" i="66"/>
  <c r="H166" s="1"/>
  <c r="C42"/>
  <c r="H42" s="1"/>
  <c r="C80" i="67"/>
  <c r="H80" s="1"/>
  <c r="C133" i="66"/>
  <c r="H133" s="1"/>
  <c r="D198" i="61"/>
  <c r="I24" i="69" s="1"/>
  <c r="F196" i="61"/>
  <c r="E195"/>
  <c r="J21" i="69" s="1"/>
  <c r="F93" i="61"/>
  <c r="C175" i="67"/>
  <c r="H175" s="1"/>
  <c r="C140"/>
  <c r="H140" s="1"/>
  <c r="E123" i="66"/>
  <c r="F198" i="61"/>
  <c r="K24" i="69" s="1"/>
  <c r="E197" i="61"/>
  <c r="D196"/>
  <c r="I22" i="69" s="1"/>
  <c r="F206" i="61"/>
  <c r="K32" i="69" s="1"/>
  <c r="E205" i="61"/>
  <c r="D204"/>
  <c r="F202"/>
  <c r="K28" i="69" s="1"/>
  <c r="E201" i="61"/>
  <c r="J27" i="69" s="1"/>
  <c r="D200" i="61"/>
  <c r="F197"/>
  <c r="K23" i="69" s="1"/>
  <c r="E196" i="61"/>
  <c r="D195"/>
  <c r="F160"/>
  <c r="K12" i="69" s="1"/>
  <c r="E117" i="61"/>
  <c r="J14" i="68" s="1"/>
  <c r="C230" i="97"/>
  <c r="D91" i="61"/>
  <c r="D23" i="69" s="1"/>
  <c r="F57" i="61"/>
  <c r="G25" i="74"/>
  <c r="M19" i="89"/>
  <c r="F19"/>
  <c r="M17"/>
  <c r="D20"/>
  <c r="E18"/>
  <c r="M14"/>
  <c r="F14"/>
  <c r="M15"/>
  <c r="F15"/>
  <c r="D16"/>
  <c r="F13"/>
  <c r="E16"/>
  <c r="M16" s="1"/>
  <c r="M11"/>
  <c r="F11"/>
  <c r="M10"/>
  <c r="M9"/>
  <c r="F9"/>
  <c r="M8"/>
  <c r="E12"/>
  <c r="M12" s="1"/>
  <c r="D12"/>
  <c r="A8" i="85"/>
  <c r="A9" s="1"/>
  <c r="U9" s="1"/>
  <c r="E233" i="64"/>
  <c r="E200" i="61"/>
  <c r="J26" i="69" s="1"/>
  <c r="E240" i="61"/>
  <c r="D160"/>
  <c r="I12" i="69" s="1"/>
  <c r="E139" i="61"/>
  <c r="J17" i="68" s="1"/>
  <c r="F115" i="61"/>
  <c r="K12" i="68" s="1"/>
  <c r="F111" i="61"/>
  <c r="K10" i="68" s="1"/>
  <c r="D57" i="61"/>
  <c r="F205"/>
  <c r="K31" i="69" s="1"/>
  <c r="E204" i="61"/>
  <c r="J30" i="69" s="1"/>
  <c r="D203" i="61"/>
  <c r="I29" i="69" s="1"/>
  <c r="F201" i="61"/>
  <c r="K27" i="69" s="1"/>
  <c r="E90" i="61"/>
  <c r="F96"/>
  <c r="F28" i="69" s="1"/>
  <c r="E97" i="61"/>
  <c r="E29" i="69" s="1"/>
  <c r="F233" i="64"/>
  <c r="F200" i="61"/>
  <c r="F240"/>
  <c r="F139"/>
  <c r="K17" i="68" s="1"/>
  <c r="E57" i="61"/>
  <c r="E198"/>
  <c r="J24" i="69" s="1"/>
  <c r="D197" i="61"/>
  <c r="I23" i="69" s="1"/>
  <c r="F195" i="61"/>
  <c r="K21" i="69" s="1"/>
  <c r="E96" i="61"/>
  <c r="F92"/>
  <c r="E93"/>
  <c r="E25" i="69" s="1"/>
  <c r="F95" i="61"/>
  <c r="D97"/>
  <c r="E206"/>
  <c r="J32" i="69" s="1"/>
  <c r="D205" i="61"/>
  <c r="I31" i="69" s="1"/>
  <c r="F203" i="61"/>
  <c r="K29" i="69" s="1"/>
  <c r="E202" i="61"/>
  <c r="J28" i="69" s="1"/>
  <c r="D201" i="61"/>
  <c r="D90"/>
  <c r="D22" i="69" s="1"/>
  <c r="E89" i="61"/>
  <c r="E92"/>
  <c r="E24" i="69" s="1"/>
  <c r="D93" i="61"/>
  <c r="D25" i="69" s="1"/>
  <c r="E95" i="61"/>
  <c r="D96"/>
  <c r="D28" i="69" s="1"/>
  <c r="E99" i="61"/>
  <c r="E31" i="69" s="1"/>
  <c r="D240" i="61"/>
  <c r="D139"/>
  <c r="I17" i="68" s="1"/>
  <c r="E115" i="61"/>
  <c r="J12" i="68" s="1"/>
  <c r="E111" i="61"/>
  <c r="J10" i="68" s="1"/>
  <c r="D89" i="61"/>
  <c r="D21" i="69" s="1"/>
  <c r="F90" i="61"/>
  <c r="F22" i="69" s="1"/>
  <c r="E91" i="61"/>
  <c r="D92"/>
  <c r="D24" i="69" s="1"/>
  <c r="F97" i="61"/>
  <c r="F29" i="69" s="1"/>
  <c r="E98" i="61"/>
  <c r="A10" i="84"/>
  <c r="H46" i="73"/>
  <c r="U36" i="72"/>
  <c r="D36"/>
  <c r="C36"/>
  <c r="V26"/>
  <c r="M26" i="78"/>
  <c r="D9" i="77"/>
  <c r="D25" s="1"/>
  <c r="D215" i="76"/>
  <c r="D101"/>
  <c r="E46" i="73"/>
  <c r="D46"/>
  <c r="I46"/>
  <c r="V16" i="72"/>
  <c r="C27" i="90"/>
  <c r="C17"/>
  <c r="D26" i="70"/>
  <c r="H13"/>
  <c r="B53"/>
  <c r="C48" i="67"/>
  <c r="H48" s="1"/>
  <c r="C21"/>
  <c r="H21" s="1"/>
  <c r="C13"/>
  <c r="H13" s="1"/>
  <c r="C48" i="66"/>
  <c r="H48" s="1"/>
  <c r="D12"/>
  <c r="D11" s="1"/>
  <c r="C49" i="67"/>
  <c r="H49" s="1"/>
  <c r="D242" i="66"/>
  <c r="C84"/>
  <c r="H84" s="1"/>
  <c r="C69" i="67"/>
  <c r="H69" s="1"/>
  <c r="C63"/>
  <c r="H63" s="1"/>
  <c r="C43"/>
  <c r="H43" s="1"/>
  <c r="C31" i="66"/>
  <c r="H31" s="1"/>
  <c r="C144" i="67"/>
  <c r="H144" s="1"/>
  <c r="C154"/>
  <c r="H154" s="1"/>
  <c r="C173" i="66"/>
  <c r="H173" s="1"/>
  <c r="E242" i="67"/>
  <c r="C69" i="66"/>
  <c r="H69" s="1"/>
  <c r="C43"/>
  <c r="H43" s="1"/>
  <c r="C34" i="67"/>
  <c r="H34" s="1"/>
  <c r="C53"/>
  <c r="H53" s="1"/>
  <c r="C16" i="66"/>
  <c r="H16" s="1"/>
  <c r="C81"/>
  <c r="H81" s="1"/>
  <c r="C45"/>
  <c r="H45" s="1"/>
  <c r="C61"/>
  <c r="H61" s="1"/>
  <c r="C28"/>
  <c r="H28" s="1"/>
  <c r="C158"/>
  <c r="H158" s="1"/>
  <c r="C233" i="67"/>
  <c r="D165"/>
  <c r="F150"/>
  <c r="C126"/>
  <c r="H126" s="1"/>
  <c r="C241"/>
  <c r="H241" s="1"/>
  <c r="C240" i="64"/>
  <c r="H240" s="1"/>
  <c r="F242" i="67"/>
  <c r="F242" i="66"/>
  <c r="C170" i="67"/>
  <c r="H170" s="1"/>
  <c r="C124" i="66"/>
  <c r="H124" s="1"/>
  <c r="C81" i="67"/>
  <c r="H81" s="1"/>
  <c r="C80" i="66"/>
  <c r="H80" s="1"/>
  <c r="C78" i="67"/>
  <c r="H78" s="1"/>
  <c r="C77" i="66"/>
  <c r="H77" s="1"/>
  <c r="E223"/>
  <c r="C172" i="67"/>
  <c r="H172" s="1"/>
  <c r="H91" i="97"/>
  <c r="C13" i="66"/>
  <c r="H13" s="1"/>
  <c r="C130"/>
  <c r="H130" s="1"/>
  <c r="C90" i="65"/>
  <c r="H90" s="1"/>
  <c r="C239" i="67"/>
  <c r="H239" s="1"/>
  <c r="C91" i="64"/>
  <c r="H91" s="1"/>
  <c r="C136" i="66"/>
  <c r="H136" s="1"/>
  <c r="C130" i="67"/>
  <c r="H130" s="1"/>
  <c r="C170" i="66"/>
  <c r="H170" s="1"/>
  <c r="C125"/>
  <c r="H125" s="1"/>
  <c r="C230" i="67"/>
  <c r="C241" i="66"/>
  <c r="H241" s="1"/>
  <c r="E159" i="67"/>
  <c r="D232" i="66"/>
  <c r="D232" i="65"/>
  <c r="C60" i="66"/>
  <c r="H60" s="1"/>
  <c r="C138"/>
  <c r="H138" s="1"/>
  <c r="C139" i="65"/>
  <c r="H139" s="1"/>
  <c r="D150" i="67"/>
  <c r="C152" i="66"/>
  <c r="H152" s="1"/>
  <c r="D150"/>
  <c r="C89" i="64"/>
  <c r="H89" s="1"/>
  <c r="D123" i="66"/>
  <c r="C115" i="64"/>
  <c r="H115" s="1"/>
  <c r="D10" i="68"/>
  <c r="C85" i="67"/>
  <c r="H85" s="1"/>
  <c r="C84"/>
  <c r="H84" s="1"/>
  <c r="C63" i="66"/>
  <c r="H63" s="1"/>
  <c r="C31" i="67"/>
  <c r="H31" s="1"/>
  <c r="D111" i="61"/>
  <c r="C65" i="66"/>
  <c r="H65" s="1"/>
  <c r="E58"/>
  <c r="C54"/>
  <c r="C39" i="67"/>
  <c r="H39" s="1"/>
  <c r="F223" i="109"/>
  <c r="D44" i="66"/>
  <c r="C89" i="65"/>
  <c r="H89" s="1"/>
  <c r="D231" i="64"/>
  <c r="E230" i="65"/>
  <c r="C129" i="67"/>
  <c r="H129" s="1"/>
  <c r="C240" i="65"/>
  <c r="H240" s="1"/>
  <c r="C127" i="67"/>
  <c r="H127" s="1"/>
  <c r="C96" i="65"/>
  <c r="H96" s="1"/>
  <c r="C90" i="64"/>
  <c r="H90" s="1"/>
  <c r="C95" i="65"/>
  <c r="H95" s="1"/>
  <c r="D230"/>
  <c r="F231" i="64"/>
  <c r="C96"/>
  <c r="H96" s="1"/>
  <c r="C169" i="67"/>
  <c r="H169" s="1"/>
  <c r="C38" i="66"/>
  <c r="H38" s="1"/>
  <c r="C36" i="67"/>
  <c r="H36" s="1"/>
  <c r="C29"/>
  <c r="H29" s="1"/>
  <c r="C22"/>
  <c r="H22" s="1"/>
  <c r="C151" i="65"/>
  <c r="H151" s="1"/>
  <c r="C239" i="66"/>
  <c r="C115" i="65"/>
  <c r="H115" s="1"/>
  <c r="E24" i="61"/>
  <c r="D159" i="66"/>
  <c r="D151" i="61"/>
  <c r="C133" i="67"/>
  <c r="H133" s="1"/>
  <c r="E150"/>
  <c r="C143" i="66"/>
  <c r="H143" s="1"/>
  <c r="D58"/>
  <c r="H200" i="65"/>
  <c r="C24" i="64"/>
  <c r="H24" s="1"/>
  <c r="C111"/>
  <c r="H111" s="1"/>
  <c r="H200"/>
  <c r="C170"/>
  <c r="H170" s="1"/>
  <c r="C161" i="66"/>
  <c r="H161" s="1"/>
  <c r="C57" i="64"/>
  <c r="H57" s="1"/>
  <c r="F32" i="66"/>
  <c r="C137" i="67"/>
  <c r="H137" s="1"/>
  <c r="F223"/>
  <c r="C28"/>
  <c r="H28" s="1"/>
  <c r="C19"/>
  <c r="H19" s="1"/>
  <c r="C18" i="66"/>
  <c r="H18" s="1"/>
  <c r="C167" i="67"/>
  <c r="H167" s="1"/>
  <c r="C16"/>
  <c r="H16" s="1"/>
  <c r="F12"/>
  <c r="F11" s="1"/>
  <c r="C53" i="66"/>
  <c r="H53" s="1"/>
  <c r="C38" i="67"/>
  <c r="H38" s="1"/>
  <c r="C36" i="66"/>
  <c r="H36" s="1"/>
  <c r="C23" i="67"/>
  <c r="H23" s="1"/>
  <c r="C21" i="66"/>
  <c r="H21" s="1"/>
  <c r="C20"/>
  <c r="H20" s="1"/>
  <c r="C33" i="67"/>
  <c r="H33" s="1"/>
  <c r="C46"/>
  <c r="H46" s="1"/>
  <c r="C33" i="66"/>
  <c r="H33" s="1"/>
  <c r="E51" i="67"/>
  <c r="C52"/>
  <c r="H52" s="1"/>
  <c r="E51" i="66"/>
  <c r="C77" i="67"/>
  <c r="H77" s="1"/>
  <c r="F12" i="66"/>
  <c r="F11" s="1"/>
  <c r="C174" i="67"/>
  <c r="H174" s="1"/>
  <c r="C145"/>
  <c r="H145" s="1"/>
  <c r="C145" i="66"/>
  <c r="H145" s="1"/>
  <c r="C142" i="67"/>
  <c r="H142" s="1"/>
  <c r="C142" i="66"/>
  <c r="H142" s="1"/>
  <c r="C140"/>
  <c r="H140" s="1"/>
  <c r="C157"/>
  <c r="H157" s="1"/>
  <c r="E159"/>
  <c r="C155"/>
  <c r="H155" s="1"/>
  <c r="C138" i="67"/>
  <c r="H138" s="1"/>
  <c r="E226" i="109"/>
  <c r="D159" i="67"/>
  <c r="C136"/>
  <c r="C173"/>
  <c r="H173" s="1"/>
  <c r="C143"/>
  <c r="H143" s="1"/>
  <c r="C144" i="66"/>
  <c r="H144" s="1"/>
  <c r="C128"/>
  <c r="H128" s="1"/>
  <c r="C97" i="64"/>
  <c r="H97" s="1"/>
  <c r="B35" i="70"/>
  <c r="C174" i="66"/>
  <c r="H174" s="1"/>
  <c r="F100" i="61"/>
  <c r="F44" i="66"/>
  <c r="E160" i="61"/>
  <c r="C19" i="66"/>
  <c r="H19" s="1"/>
  <c r="C66" i="67"/>
  <c r="H66" s="1"/>
  <c r="C168"/>
  <c r="H168" s="1"/>
  <c r="D98" i="61"/>
  <c r="C35" i="67"/>
  <c r="H35" s="1"/>
  <c r="F99" i="61"/>
  <c r="C22" i="66"/>
  <c r="H22" s="1"/>
  <c r="D100" i="61"/>
  <c r="F123" i="67"/>
  <c r="C20"/>
  <c r="H20" s="1"/>
  <c r="C37"/>
  <c r="H37" s="1"/>
  <c r="C131"/>
  <c r="H131" s="1"/>
  <c r="C124"/>
  <c r="H124" s="1"/>
  <c r="E64" i="66"/>
  <c r="C66"/>
  <c r="H66" s="1"/>
  <c r="C27" i="67"/>
  <c r="H27" s="1"/>
  <c r="C135" i="66"/>
  <c r="H135" s="1"/>
  <c r="C27"/>
  <c r="H27" s="1"/>
  <c r="C127"/>
  <c r="H127" s="1"/>
  <c r="C56" i="67"/>
  <c r="H56" s="1"/>
  <c r="C162" i="66"/>
  <c r="H162" s="1"/>
  <c r="C161" i="67"/>
  <c r="H161" s="1"/>
  <c r="C100" i="97"/>
  <c r="H100" s="1"/>
  <c r="E230"/>
  <c r="C24"/>
  <c r="H24" s="1"/>
  <c r="F146" i="67"/>
  <c r="E64"/>
  <c r="C67"/>
  <c r="H67" s="1"/>
  <c r="C171"/>
  <c r="H171" s="1"/>
  <c r="C167" i="66"/>
  <c r="H167" s="1"/>
  <c r="C160" i="64"/>
  <c r="H160" s="1"/>
  <c r="C135" i="67"/>
  <c r="H135" s="1"/>
  <c r="C90"/>
  <c r="H90" s="1"/>
  <c r="D230" i="109"/>
  <c r="E230" i="67"/>
  <c r="F58"/>
  <c r="E170" i="61"/>
  <c r="C195" i="67"/>
  <c r="H195" s="1"/>
  <c r="F230"/>
  <c r="C205" i="97"/>
  <c r="H205" s="1"/>
  <c r="C99"/>
  <c r="H99" s="1"/>
  <c r="C24" i="109"/>
  <c r="H24" s="1"/>
  <c r="D232" i="67"/>
  <c r="D242" i="109"/>
  <c r="C202" i="66"/>
  <c r="H202" s="1"/>
  <c r="C198" i="109"/>
  <c r="H198" s="1"/>
  <c r="C202"/>
  <c r="H202" s="1"/>
  <c r="C206"/>
  <c r="H206" s="1"/>
  <c r="C240"/>
  <c r="H240" s="1"/>
  <c r="C134" i="66"/>
  <c r="H134" s="1"/>
  <c r="C233"/>
  <c r="H233" s="1"/>
  <c r="D232" i="97"/>
  <c r="D242" i="67"/>
  <c r="C15" i="66"/>
  <c r="H15" s="1"/>
  <c r="D146" i="97"/>
  <c r="C204" i="66"/>
  <c r="H204" s="1"/>
  <c r="C201"/>
  <c r="C100" i="109"/>
  <c r="H100" s="1"/>
  <c r="K10" i="69"/>
  <c r="C47" i="66"/>
  <c r="H47" s="1"/>
  <c r="H200" i="97"/>
  <c r="C157" i="67"/>
  <c r="H157" s="1"/>
  <c r="C139" i="64"/>
  <c r="H139" s="1"/>
  <c r="F110" i="109"/>
  <c r="C170"/>
  <c r="H170" s="1"/>
  <c r="C125" i="67"/>
  <c r="H125" s="1"/>
  <c r="C129" i="66"/>
  <c r="H129" s="1"/>
  <c r="C57" i="65"/>
  <c r="H57" s="1"/>
  <c r="C141" i="109"/>
  <c r="H141" s="1"/>
  <c r="C137"/>
  <c r="H137" s="1"/>
  <c r="C128"/>
  <c r="H128" s="1"/>
  <c r="C174"/>
  <c r="H174" s="1"/>
  <c r="E159"/>
  <c r="C154"/>
  <c r="H154" s="1"/>
  <c r="C138"/>
  <c r="H138" s="1"/>
  <c r="C184"/>
  <c r="H184" s="1"/>
  <c r="C136"/>
  <c r="H136" s="1"/>
  <c r="C127"/>
  <c r="H127" s="1"/>
  <c r="C205" i="67"/>
  <c r="H205" s="1"/>
  <c r="D234" i="109"/>
  <c r="D232" s="1"/>
  <c r="C78" i="66"/>
  <c r="H78" s="1"/>
  <c r="C42" i="67"/>
  <c r="H42" s="1"/>
  <c r="C139" i="66"/>
  <c r="H139" s="1"/>
  <c r="C92"/>
  <c r="H92" s="1"/>
  <c r="F230" i="97"/>
  <c r="C96" i="109"/>
  <c r="H96" s="1"/>
  <c r="E12" i="66"/>
  <c r="E11" s="1"/>
  <c r="C61" i="67"/>
  <c r="H61" s="1"/>
  <c r="C175" i="66"/>
  <c r="H175" s="1"/>
  <c r="C196" i="109"/>
  <c r="H196" s="1"/>
  <c r="C56" i="66"/>
  <c r="H56" s="1"/>
  <c r="H233" i="65"/>
  <c r="C37" i="66"/>
  <c r="H37" s="1"/>
  <c r="C158" i="67"/>
  <c r="H158" s="1"/>
  <c r="C92" i="109"/>
  <c r="H92" s="1"/>
  <c r="C142"/>
  <c r="H142" s="1"/>
  <c r="C148"/>
  <c r="H148" s="1"/>
  <c r="C18" i="67"/>
  <c r="H18" s="1"/>
  <c r="C203" i="66"/>
  <c r="C126" i="109"/>
  <c r="H126" s="1"/>
  <c r="C205"/>
  <c r="H205" s="1"/>
  <c r="H197" i="67"/>
  <c r="F232" i="65"/>
  <c r="C85" i="66"/>
  <c r="H85" s="1"/>
  <c r="C35"/>
  <c r="H35" s="1"/>
  <c r="C198" i="65"/>
  <c r="H198" s="1"/>
  <c r="E234"/>
  <c r="E232" s="1"/>
  <c r="C99"/>
  <c r="H99" s="1"/>
  <c r="C148" i="66"/>
  <c r="C93" i="109"/>
  <c r="H93" s="1"/>
  <c r="C99"/>
  <c r="H99" s="1"/>
  <c r="C115"/>
  <c r="H115" s="1"/>
  <c r="C117"/>
  <c r="H117" s="1"/>
  <c r="C131"/>
  <c r="H131" s="1"/>
  <c r="C151"/>
  <c r="H151" s="1"/>
  <c r="C160"/>
  <c r="H160" s="1"/>
  <c r="C201"/>
  <c r="H201" s="1"/>
  <c r="C39" i="66"/>
  <c r="H39" s="1"/>
  <c r="C156" i="67"/>
  <c r="H156" s="1"/>
  <c r="C153"/>
  <c r="C93" i="66"/>
  <c r="H93" s="1"/>
  <c r="C199" i="97"/>
  <c r="H199" s="1"/>
  <c r="C57" i="109"/>
  <c r="H57" s="1"/>
  <c r="C89"/>
  <c r="H89" s="1"/>
  <c r="C90"/>
  <c r="H90" s="1"/>
  <c r="F230"/>
  <c r="C95"/>
  <c r="H95" s="1"/>
  <c r="C111"/>
  <c r="H111" s="1"/>
  <c r="C139"/>
  <c r="H139" s="1"/>
  <c r="F234"/>
  <c r="F232" s="1"/>
  <c r="C197"/>
  <c r="H197" s="1"/>
  <c r="C203"/>
  <c r="H203" s="1"/>
  <c r="C204"/>
  <c r="H204" s="1"/>
  <c r="F242"/>
  <c r="C241"/>
  <c r="H241" s="1"/>
  <c r="E165" i="67"/>
  <c r="C164"/>
  <c r="H164" s="1"/>
  <c r="C93" i="64"/>
  <c r="H93" s="1"/>
  <c r="C97" i="65"/>
  <c r="H97" s="1"/>
  <c r="C92"/>
  <c r="H92" s="1"/>
  <c r="C240" i="66"/>
  <c r="H240" s="1"/>
  <c r="C91"/>
  <c r="C99" i="67"/>
  <c r="H99" s="1"/>
  <c r="C57" i="97"/>
  <c r="H57" s="1"/>
  <c r="E230" i="109"/>
  <c r="C97"/>
  <c r="H97" s="1"/>
  <c r="C98"/>
  <c r="H98" s="1"/>
  <c r="C135"/>
  <c r="H135" s="1"/>
  <c r="E234"/>
  <c r="E232" s="1"/>
  <c r="C199"/>
  <c r="H199" s="1"/>
  <c r="E242"/>
  <c r="C91"/>
  <c r="C113"/>
  <c r="H113" s="1"/>
  <c r="C125"/>
  <c r="H125" s="1"/>
  <c r="F146"/>
  <c r="C161"/>
  <c r="C185"/>
  <c r="F194"/>
  <c r="F193" s="1"/>
  <c r="F192" s="1"/>
  <c r="E110"/>
  <c r="E194"/>
  <c r="E193" s="1"/>
  <c r="E192" s="1"/>
  <c r="C200"/>
  <c r="D194"/>
  <c r="D193" s="1"/>
  <c r="D192" s="1"/>
  <c r="C195"/>
  <c r="C239"/>
  <c r="I62" i="70" s="1"/>
  <c r="J62" s="1"/>
  <c r="H233" i="97"/>
  <c r="F234" i="66"/>
  <c r="F232" s="1"/>
  <c r="F233" i="67"/>
  <c r="F194" i="97"/>
  <c r="F193" s="1"/>
  <c r="F192" s="1"/>
  <c r="C197"/>
  <c r="E194"/>
  <c r="E193" s="1"/>
  <c r="E192" s="1"/>
  <c r="C97"/>
  <c r="H97" s="1"/>
  <c r="C29" i="66"/>
  <c r="C14" i="67"/>
  <c r="C169" i="66"/>
  <c r="E232"/>
  <c r="E194"/>
  <c r="E193" s="1"/>
  <c r="E232" i="97"/>
  <c r="D45" i="70"/>
  <c r="C92" i="64"/>
  <c r="E230"/>
  <c r="F146" i="66"/>
  <c r="C205" i="64"/>
  <c r="H205" s="1"/>
  <c r="C93" i="65"/>
  <c r="D53" i="70"/>
  <c r="C117" i="67"/>
  <c r="H117" s="1"/>
  <c r="C117" i="97"/>
  <c r="H117" s="1"/>
  <c r="F159" i="66"/>
  <c r="C206" i="65"/>
  <c r="H206" s="1"/>
  <c r="C97" i="67"/>
  <c r="H97" s="1"/>
  <c r="C117" i="64" l="1"/>
  <c r="H117" s="1"/>
  <c r="C139" i="61"/>
  <c r="R323" i="116" s="1"/>
  <c r="S323" s="1"/>
  <c r="I13" i="72"/>
  <c r="J13" s="1"/>
  <c r="K13" s="1"/>
  <c r="L13" s="1"/>
  <c r="M13" s="1"/>
  <c r="N13" s="1"/>
  <c r="O13" s="1"/>
  <c r="P13" s="1"/>
  <c r="Q13" s="1"/>
  <c r="R13" s="1"/>
  <c r="S13" s="1"/>
  <c r="T13" s="1"/>
  <c r="U13" s="1"/>
  <c r="I10"/>
  <c r="J10" s="1"/>
  <c r="K10" s="1"/>
  <c r="L10" s="1"/>
  <c r="M10" s="1"/>
  <c r="N10" s="1"/>
  <c r="O10" s="1"/>
  <c r="P10" s="1"/>
  <c r="Q10" s="1"/>
  <c r="R10" s="1"/>
  <c r="S10" s="1"/>
  <c r="T10" s="1"/>
  <c r="U10" s="1"/>
  <c r="H28" i="69"/>
  <c r="H233" i="64"/>
  <c r="N310" i="84"/>
  <c r="H310"/>
  <c r="D220" i="76"/>
  <c r="D214"/>
  <c r="D244" s="1"/>
  <c r="D245"/>
  <c r="D208"/>
  <c r="C57" i="61"/>
  <c r="R312" i="116" s="1"/>
  <c r="C240" i="61"/>
  <c r="E240" i="76" s="1"/>
  <c r="C202" i="61"/>
  <c r="H202" s="1"/>
  <c r="D231"/>
  <c r="C203"/>
  <c r="H203" s="1"/>
  <c r="H24" i="69"/>
  <c r="H29"/>
  <c r="F230" i="64"/>
  <c r="F229" s="1"/>
  <c r="C111" i="65"/>
  <c r="H111" s="1"/>
  <c r="E233" i="61"/>
  <c r="F110" i="67"/>
  <c r="D226" i="97"/>
  <c r="F30" i="75"/>
  <c r="G30" s="1"/>
  <c r="H30" s="1"/>
  <c r="I30" s="1"/>
  <c r="J30" s="1"/>
  <c r="K30" s="1"/>
  <c r="L30" s="1"/>
  <c r="M30" s="1"/>
  <c r="N30" s="1"/>
  <c r="O30" s="1"/>
  <c r="D226" i="67"/>
  <c r="E226" i="66"/>
  <c r="D226"/>
  <c r="C182" i="67"/>
  <c r="H182" s="1"/>
  <c r="C191"/>
  <c r="H191" s="1"/>
  <c r="C191" i="66"/>
  <c r="H191" s="1"/>
  <c r="C184"/>
  <c r="H184" s="1"/>
  <c r="C186" i="67"/>
  <c r="H186" s="1"/>
  <c r="C187" i="66"/>
  <c r="H187" s="1"/>
  <c r="C183" i="67"/>
  <c r="H183" s="1"/>
  <c r="C190"/>
  <c r="H190" s="1"/>
  <c r="C183" i="66"/>
  <c r="H183" s="1"/>
  <c r="C186"/>
  <c r="H186" s="1"/>
  <c r="C184" i="67"/>
  <c r="H184" s="1"/>
  <c r="C182" i="66"/>
  <c r="H182" s="1"/>
  <c r="C190"/>
  <c r="H190" s="1"/>
  <c r="C187" i="67"/>
  <c r="H187" s="1"/>
  <c r="E110"/>
  <c r="E110" i="66"/>
  <c r="F110"/>
  <c r="C113"/>
  <c r="H113" s="1"/>
  <c r="C242" i="67"/>
  <c r="H242" s="1"/>
  <c r="C242" i="66"/>
  <c r="C146" i="97"/>
  <c r="H146" s="1"/>
  <c r="C119" i="66"/>
  <c r="H119" s="1"/>
  <c r="C146" i="67"/>
  <c r="H146" s="1"/>
  <c r="E132"/>
  <c r="C121" i="66"/>
  <c r="H121" s="1"/>
  <c r="E58" i="67"/>
  <c r="E50" s="1"/>
  <c r="C112" i="97"/>
  <c r="C155" i="67"/>
  <c r="H155" s="1"/>
  <c r="C82"/>
  <c r="H82" s="1"/>
  <c r="C82" i="66"/>
  <c r="H82" s="1"/>
  <c r="C41" i="67"/>
  <c r="H41" s="1"/>
  <c r="C114" i="66"/>
  <c r="H114" s="1"/>
  <c r="D149" i="67"/>
  <c r="E242" i="66"/>
  <c r="F64"/>
  <c r="C144" i="109"/>
  <c r="H144" s="1"/>
  <c r="E64"/>
  <c r="D110" i="97"/>
  <c r="E110"/>
  <c r="C119" i="67"/>
  <c r="H119" s="1"/>
  <c r="I45" i="70"/>
  <c r="J45" s="1"/>
  <c r="D123" i="67"/>
  <c r="C75"/>
  <c r="H75" s="1"/>
  <c r="C122" i="66"/>
  <c r="H122" s="1"/>
  <c r="D25"/>
  <c r="E116"/>
  <c r="F223"/>
  <c r="C166" i="97"/>
  <c r="H166" s="1"/>
  <c r="C164" i="66"/>
  <c r="H164" s="1"/>
  <c r="C163"/>
  <c r="E146" i="109"/>
  <c r="E132" s="1"/>
  <c r="H17" i="68"/>
  <c r="D170" i="61"/>
  <c r="I14" i="69" s="1"/>
  <c r="F170" i="61"/>
  <c r="K14" i="69" s="1"/>
  <c r="M18" i="89"/>
  <c r="E20"/>
  <c r="M20" s="1"/>
  <c r="F18"/>
  <c r="F20" s="1"/>
  <c r="F16"/>
  <c r="F12"/>
  <c r="A10" i="85"/>
  <c r="A11" s="1"/>
  <c r="U8"/>
  <c r="D99" i="61"/>
  <c r="D31" i="69" s="1"/>
  <c r="C95" i="64"/>
  <c r="C230" s="1"/>
  <c r="D95" i="61"/>
  <c r="D88" s="1"/>
  <c r="D117"/>
  <c r="J12" i="69"/>
  <c r="H12" s="1"/>
  <c r="F32"/>
  <c r="C100" i="64"/>
  <c r="H100" s="1"/>
  <c r="E100" i="61"/>
  <c r="E32" i="69" s="1"/>
  <c r="E151" i="61"/>
  <c r="J10" i="69" s="1"/>
  <c r="F98" i="61"/>
  <c r="F30" i="69" s="1"/>
  <c r="F117" i="61"/>
  <c r="K14" i="68" s="1"/>
  <c r="F88" i="64"/>
  <c r="F87" s="1"/>
  <c r="F86" s="1"/>
  <c r="F91" i="61"/>
  <c r="F23" i="69" s="1"/>
  <c r="J14"/>
  <c r="C59" i="66"/>
  <c r="H59" s="1"/>
  <c r="A11" i="84"/>
  <c r="V36" i="72"/>
  <c r="C37" i="90"/>
  <c r="D102" i="76"/>
  <c r="H12" i="68"/>
  <c r="C83" i="97"/>
  <c r="H83" s="1"/>
  <c r="C114" i="109"/>
  <c r="H114" s="1"/>
  <c r="C18"/>
  <c r="H18" s="1"/>
  <c r="C52"/>
  <c r="H52" s="1"/>
  <c r="C27"/>
  <c r="H27" s="1"/>
  <c r="C80"/>
  <c r="H80" s="1"/>
  <c r="C66"/>
  <c r="H66" s="1"/>
  <c r="C67"/>
  <c r="H67" s="1"/>
  <c r="C81"/>
  <c r="H81" s="1"/>
  <c r="C38"/>
  <c r="H38" s="1"/>
  <c r="C55"/>
  <c r="H55" s="1"/>
  <c r="C39"/>
  <c r="H39" s="1"/>
  <c r="C63"/>
  <c r="H63" s="1"/>
  <c r="C78"/>
  <c r="H78" s="1"/>
  <c r="C34"/>
  <c r="H34" s="1"/>
  <c r="C42"/>
  <c r="H42" s="1"/>
  <c r="C46"/>
  <c r="H46" s="1"/>
  <c r="C65"/>
  <c r="H65" s="1"/>
  <c r="C15"/>
  <c r="H15" s="1"/>
  <c r="C16"/>
  <c r="H16" s="1"/>
  <c r="C22"/>
  <c r="H22" s="1"/>
  <c r="C28"/>
  <c r="H28" s="1"/>
  <c r="C31"/>
  <c r="H31" s="1"/>
  <c r="C59"/>
  <c r="H59" s="1"/>
  <c r="C77"/>
  <c r="H77" s="1"/>
  <c r="C23"/>
  <c r="H23" s="1"/>
  <c r="C84"/>
  <c r="H84" s="1"/>
  <c r="C19"/>
  <c r="H19" s="1"/>
  <c r="C33"/>
  <c r="H33" s="1"/>
  <c r="C45"/>
  <c r="C48"/>
  <c r="H48" s="1"/>
  <c r="C68"/>
  <c r="H68" s="1"/>
  <c r="C35"/>
  <c r="H35" s="1"/>
  <c r="C37"/>
  <c r="H37" s="1"/>
  <c r="C62"/>
  <c r="H62" s="1"/>
  <c r="C47"/>
  <c r="H47" s="1"/>
  <c r="C121" i="67"/>
  <c r="H121" s="1"/>
  <c r="C188" i="109"/>
  <c r="H188" s="1"/>
  <c r="C129"/>
  <c r="H129" s="1"/>
  <c r="C83" i="67"/>
  <c r="H83" s="1"/>
  <c r="F132"/>
  <c r="D132"/>
  <c r="E123"/>
  <c r="C162"/>
  <c r="H162" s="1"/>
  <c r="C56" i="97"/>
  <c r="H56" s="1"/>
  <c r="H230"/>
  <c r="E51" i="109"/>
  <c r="F25"/>
  <c r="E51" i="97"/>
  <c r="D227" i="109"/>
  <c r="D225" s="1"/>
  <c r="C114" i="67"/>
  <c r="H114" s="1"/>
  <c r="C83" i="66"/>
  <c r="H83" s="1"/>
  <c r="F51" i="67"/>
  <c r="C75" i="66"/>
  <c r="H75" s="1"/>
  <c r="C117" i="65"/>
  <c r="H117" s="1"/>
  <c r="F32" i="67"/>
  <c r="F123" i="66"/>
  <c r="C131"/>
  <c r="H131" s="1"/>
  <c r="E25" i="67"/>
  <c r="E50" i="66"/>
  <c r="D88" i="64"/>
  <c r="D87" s="1"/>
  <c r="D86" s="1"/>
  <c r="C190" i="109"/>
  <c r="H190" s="1"/>
  <c r="C154" i="97"/>
  <c r="H154" s="1"/>
  <c r="C52" i="66"/>
  <c r="H52" s="1"/>
  <c r="C119" i="109"/>
  <c r="H119" s="1"/>
  <c r="E123"/>
  <c r="E22" i="69"/>
  <c r="C22" s="1"/>
  <c r="C90" i="61"/>
  <c r="C151" i="64"/>
  <c r="H151" s="1"/>
  <c r="C24" i="65"/>
  <c r="H24" s="1"/>
  <c r="C171" i="109"/>
  <c r="H171" s="1"/>
  <c r="F25" i="97"/>
  <c r="I35" i="70"/>
  <c r="J35" s="1"/>
  <c r="H239" i="66"/>
  <c r="C99" i="64"/>
  <c r="H99" s="1"/>
  <c r="C170" i="65"/>
  <c r="H170" s="1"/>
  <c r="C142" i="97"/>
  <c r="H142" s="1"/>
  <c r="C67" i="66"/>
  <c r="H67" s="1"/>
  <c r="C133" i="109"/>
  <c r="H133" s="1"/>
  <c r="E25" i="97"/>
  <c r="E25" i="109"/>
  <c r="C13"/>
  <c r="H13" s="1"/>
  <c r="E223" i="67"/>
  <c r="C12" i="66"/>
  <c r="C11" s="1"/>
  <c r="H11" s="1"/>
  <c r="F44" i="67"/>
  <c r="C47"/>
  <c r="H47" s="1"/>
  <c r="C17"/>
  <c r="H17" s="1"/>
  <c r="D12"/>
  <c r="D11" s="1"/>
  <c r="C17" i="109"/>
  <c r="H17" s="1"/>
  <c r="C65" i="67"/>
  <c r="H65" s="1"/>
  <c r="F64"/>
  <c r="F223" i="97"/>
  <c r="F51" i="66"/>
  <c r="C143" i="109"/>
  <c r="H143" s="1"/>
  <c r="E116"/>
  <c r="C122"/>
  <c r="H122" s="1"/>
  <c r="C167"/>
  <c r="H167" s="1"/>
  <c r="F226" i="66"/>
  <c r="C89" i="61"/>
  <c r="E21" i="69"/>
  <c r="C21" s="1"/>
  <c r="F230" i="65"/>
  <c r="C91"/>
  <c r="C136" i="97"/>
  <c r="H136" s="1"/>
  <c r="D35" i="70"/>
  <c r="H230" i="67"/>
  <c r="D230" i="64"/>
  <c r="D229" s="1"/>
  <c r="C124" i="97"/>
  <c r="H124" s="1"/>
  <c r="C158" i="109"/>
  <c r="H158" s="1"/>
  <c r="C120" i="97"/>
  <c r="H120" s="1"/>
  <c r="C41" i="66"/>
  <c r="H41" s="1"/>
  <c r="D32" i="69"/>
  <c r="C100" i="65"/>
  <c r="H100" s="1"/>
  <c r="E88" i="64"/>
  <c r="E87" s="1"/>
  <c r="E86" s="1"/>
  <c r="E231"/>
  <c r="E229" s="1"/>
  <c r="C94"/>
  <c r="H94" s="1"/>
  <c r="C160" i="65"/>
  <c r="H160" s="1"/>
  <c r="D44" i="67"/>
  <c r="C152" i="109"/>
  <c r="H152" s="1"/>
  <c r="F165"/>
  <c r="C60"/>
  <c r="H60" s="1"/>
  <c r="C113" i="67"/>
  <c r="H113" s="1"/>
  <c r="D30" i="69"/>
  <c r="C98" i="64"/>
  <c r="H98" s="1"/>
  <c r="F27" i="69"/>
  <c r="C155" i="97"/>
  <c r="H155" s="1"/>
  <c r="C145"/>
  <c r="H145" s="1"/>
  <c r="F12" i="109"/>
  <c r="F11" s="1"/>
  <c r="C194" i="67"/>
  <c r="H194" s="1"/>
  <c r="C155" i="109"/>
  <c r="H155" s="1"/>
  <c r="C166"/>
  <c r="H166" s="1"/>
  <c r="C198" i="61"/>
  <c r="C145" i="109"/>
  <c r="H145" s="1"/>
  <c r="C43" i="97"/>
  <c r="H43" s="1"/>
  <c r="C169" i="109"/>
  <c r="H169" s="1"/>
  <c r="E150" i="66"/>
  <c r="C156"/>
  <c r="D165"/>
  <c r="D149" s="1"/>
  <c r="C171"/>
  <c r="H171" s="1"/>
  <c r="C157" i="97"/>
  <c r="H157" s="1"/>
  <c r="C157" i="109"/>
  <c r="H157" s="1"/>
  <c r="F242" i="97"/>
  <c r="C26" i="66"/>
  <c r="H26" s="1"/>
  <c r="E165"/>
  <c r="D32" i="67"/>
  <c r="C191" i="109"/>
  <c r="H191" s="1"/>
  <c r="C181"/>
  <c r="H181" s="1"/>
  <c r="C76" i="97"/>
  <c r="H76" s="1"/>
  <c r="C138"/>
  <c r="H138" s="1"/>
  <c r="D132"/>
  <c r="C184"/>
  <c r="H184" s="1"/>
  <c r="C37"/>
  <c r="H37" s="1"/>
  <c r="F64" i="109"/>
  <c r="E226" i="97"/>
  <c r="C23"/>
  <c r="H23" s="1"/>
  <c r="E58" i="109"/>
  <c r="C22" i="97"/>
  <c r="H22" s="1"/>
  <c r="C234" i="67"/>
  <c r="E12"/>
  <c r="E11" s="1"/>
  <c r="C15"/>
  <c r="H15" s="1"/>
  <c r="F150" i="109"/>
  <c r="C140"/>
  <c r="H140" s="1"/>
  <c r="F44"/>
  <c r="C77" i="97"/>
  <c r="H77" s="1"/>
  <c r="E44" i="66"/>
  <c r="C46"/>
  <c r="E30" i="69"/>
  <c r="C133" i="97"/>
  <c r="H133" s="1"/>
  <c r="C130"/>
  <c r="H130" s="1"/>
  <c r="D150" i="109"/>
  <c r="C172"/>
  <c r="H172" s="1"/>
  <c r="C134" i="67"/>
  <c r="H134" s="1"/>
  <c r="C33" i="97"/>
  <c r="H33" s="1"/>
  <c r="C59" i="67"/>
  <c r="H59" s="1"/>
  <c r="C167" i="97"/>
  <c r="H167" s="1"/>
  <c r="C80"/>
  <c r="H80" s="1"/>
  <c r="C60"/>
  <c r="H60" s="1"/>
  <c r="E223"/>
  <c r="D194" i="61"/>
  <c r="D193" s="1"/>
  <c r="D192" s="1"/>
  <c r="C38" i="97"/>
  <c r="H38" s="1"/>
  <c r="C186" i="109"/>
  <c r="H186" s="1"/>
  <c r="F51"/>
  <c r="E132" i="66"/>
  <c r="C170" i="97"/>
  <c r="H170" s="1"/>
  <c r="C135"/>
  <c r="H135" s="1"/>
  <c r="F159" i="109"/>
  <c r="C68" i="97"/>
  <c r="H68" s="1"/>
  <c r="E150" i="109"/>
  <c r="C69" i="97"/>
  <c r="H69" s="1"/>
  <c r="C153" i="109"/>
  <c r="H153" s="1"/>
  <c r="C173"/>
  <c r="H173" s="1"/>
  <c r="E44"/>
  <c r="C35" i="97"/>
  <c r="H35" s="1"/>
  <c r="C128"/>
  <c r="H128" s="1"/>
  <c r="C160" i="61"/>
  <c r="R325" i="116" s="1"/>
  <c r="S325" s="1"/>
  <c r="C156" i="109"/>
  <c r="H156" s="1"/>
  <c r="C164"/>
  <c r="H164" s="1"/>
  <c r="C175"/>
  <c r="H175" s="1"/>
  <c r="C172" i="97"/>
  <c r="H172" s="1"/>
  <c r="C241"/>
  <c r="H241" s="1"/>
  <c r="F132" i="109"/>
  <c r="C15" i="97"/>
  <c r="H15" s="1"/>
  <c r="C175"/>
  <c r="H175" s="1"/>
  <c r="C162" i="109"/>
  <c r="H162" s="1"/>
  <c r="D123"/>
  <c r="E165"/>
  <c r="C134" i="97"/>
  <c r="H134" s="1"/>
  <c r="C234" i="66"/>
  <c r="C232" s="1"/>
  <c r="H232" s="1"/>
  <c r="H201"/>
  <c r="C63" i="97"/>
  <c r="H63" s="1"/>
  <c r="D159" i="109"/>
  <c r="C124"/>
  <c r="H124" s="1"/>
  <c r="C61" i="97"/>
  <c r="H61" s="1"/>
  <c r="C137"/>
  <c r="H137" s="1"/>
  <c r="C168" i="109"/>
  <c r="H168" s="1"/>
  <c r="C49" i="97"/>
  <c r="H49" s="1"/>
  <c r="C130" i="109"/>
  <c r="H130" s="1"/>
  <c r="F123"/>
  <c r="D165"/>
  <c r="C182"/>
  <c r="H182" s="1"/>
  <c r="C20" i="97"/>
  <c r="H20" s="1"/>
  <c r="C114"/>
  <c r="H114" s="1"/>
  <c r="F123"/>
  <c r="C125"/>
  <c r="H125" s="1"/>
  <c r="C141"/>
  <c r="H141" s="1"/>
  <c r="C81"/>
  <c r="H81" s="1"/>
  <c r="C85"/>
  <c r="H85" s="1"/>
  <c r="C143"/>
  <c r="H143" s="1"/>
  <c r="C174"/>
  <c r="H174" s="1"/>
  <c r="C55"/>
  <c r="H55" s="1"/>
  <c r="C29"/>
  <c r="H29" s="1"/>
  <c r="C42"/>
  <c r="H42" s="1"/>
  <c r="C59"/>
  <c r="H59" s="1"/>
  <c r="C48"/>
  <c r="H48" s="1"/>
  <c r="C68" i="66"/>
  <c r="D64"/>
  <c r="I10" i="68"/>
  <c r="H10" s="1"/>
  <c r="C111" i="61"/>
  <c r="R319" i="116" s="1"/>
  <c r="S319" s="1"/>
  <c r="C187" i="109"/>
  <c r="H187" s="1"/>
  <c r="C47" i="97"/>
  <c r="H47" s="1"/>
  <c r="F58"/>
  <c r="D123"/>
  <c r="C183"/>
  <c r="H183" s="1"/>
  <c r="C158"/>
  <c r="H158" s="1"/>
  <c r="C187"/>
  <c r="H187" s="1"/>
  <c r="F12"/>
  <c r="F11" s="1"/>
  <c r="C34"/>
  <c r="C78"/>
  <c r="H78" s="1"/>
  <c r="C171"/>
  <c r="H171" s="1"/>
  <c r="C18"/>
  <c r="H18" s="1"/>
  <c r="D51"/>
  <c r="C39"/>
  <c r="H39" s="1"/>
  <c r="E64"/>
  <c r="C126"/>
  <c r="H126" s="1"/>
  <c r="C13"/>
  <c r="H13" s="1"/>
  <c r="E12"/>
  <c r="E11" s="1"/>
  <c r="C45"/>
  <c r="E44"/>
  <c r="E44" i="67"/>
  <c r="C153" i="97"/>
  <c r="H153" s="1"/>
  <c r="C67"/>
  <c r="H67" s="1"/>
  <c r="F159"/>
  <c r="E28" i="69"/>
  <c r="C28" s="1"/>
  <c r="C96" i="61"/>
  <c r="C21" i="97"/>
  <c r="H21" s="1"/>
  <c r="E123"/>
  <c r="C169"/>
  <c r="H169" s="1"/>
  <c r="D242"/>
  <c r="C239"/>
  <c r="E116"/>
  <c r="C65"/>
  <c r="H65" s="1"/>
  <c r="D64"/>
  <c r="C84"/>
  <c r="H84" s="1"/>
  <c r="C131"/>
  <c r="H131" s="1"/>
  <c r="C28"/>
  <c r="H28" s="1"/>
  <c r="F64"/>
  <c r="D58" i="67"/>
  <c r="C62"/>
  <c r="H62" s="1"/>
  <c r="C183" i="109"/>
  <c r="H183" s="1"/>
  <c r="C134"/>
  <c r="H134" s="1"/>
  <c r="C140" i="97"/>
  <c r="H140" s="1"/>
  <c r="C191"/>
  <c r="H191" s="1"/>
  <c r="C163" i="109"/>
  <c r="H163" s="1"/>
  <c r="E132" i="97"/>
  <c r="E165"/>
  <c r="D58"/>
  <c r="C129"/>
  <c r="H129" s="1"/>
  <c r="C36"/>
  <c r="H36" s="1"/>
  <c r="C127"/>
  <c r="H127" s="1"/>
  <c r="E150"/>
  <c r="C162"/>
  <c r="H162" s="1"/>
  <c r="C144"/>
  <c r="H144" s="1"/>
  <c r="C168"/>
  <c r="H168" s="1"/>
  <c r="C182"/>
  <c r="H182" s="1"/>
  <c r="C119"/>
  <c r="H119" s="1"/>
  <c r="C186"/>
  <c r="H186" s="1"/>
  <c r="C14"/>
  <c r="H14" s="1"/>
  <c r="D12"/>
  <c r="D11" s="1"/>
  <c r="F165"/>
  <c r="C17"/>
  <c r="H17" s="1"/>
  <c r="E159"/>
  <c r="C161"/>
  <c r="H161" s="1"/>
  <c r="C190"/>
  <c r="H190" s="1"/>
  <c r="C27"/>
  <c r="H27" s="1"/>
  <c r="D44"/>
  <c r="C46"/>
  <c r="H46" s="1"/>
  <c r="F44"/>
  <c r="C19"/>
  <c r="H19" s="1"/>
  <c r="C173"/>
  <c r="H173" s="1"/>
  <c r="F132"/>
  <c r="C164"/>
  <c r="H164" s="1"/>
  <c r="C66"/>
  <c r="H66" s="1"/>
  <c r="C52"/>
  <c r="E242"/>
  <c r="C16"/>
  <c r="H16" s="1"/>
  <c r="F58" i="109"/>
  <c r="C115" i="61"/>
  <c r="R320" i="116" s="1"/>
  <c r="S320" s="1"/>
  <c r="E231" i="61"/>
  <c r="C31" i="97"/>
  <c r="H31" s="1"/>
  <c r="C194" i="66"/>
  <c r="C193" s="1"/>
  <c r="C192" s="1"/>
  <c r="H203"/>
  <c r="C204" i="61"/>
  <c r="I30" i="69"/>
  <c r="H30" s="1"/>
  <c r="F31"/>
  <c r="I27"/>
  <c r="H27" s="1"/>
  <c r="C201" i="61"/>
  <c r="C194" i="65"/>
  <c r="H194" s="1"/>
  <c r="C123" i="67"/>
  <c r="I32" i="69"/>
  <c r="H32" s="1"/>
  <c r="C206" i="61"/>
  <c r="H54" i="66"/>
  <c r="H153" i="67"/>
  <c r="H136"/>
  <c r="E149"/>
  <c r="H91" i="66"/>
  <c r="C230"/>
  <c r="H230" s="1"/>
  <c r="I21" i="69"/>
  <c r="D234" i="61"/>
  <c r="C195"/>
  <c r="E27" i="69"/>
  <c r="H148" i="66"/>
  <c r="C146"/>
  <c r="C132" s="1"/>
  <c r="I26" i="69"/>
  <c r="D233" i="61"/>
  <c r="C234" i="65"/>
  <c r="H195" i="109"/>
  <c r="C234"/>
  <c r="H234" s="1"/>
  <c r="C194"/>
  <c r="H200"/>
  <c r="C233"/>
  <c r="H239"/>
  <c r="C242"/>
  <c r="H242" s="1"/>
  <c r="H185"/>
  <c r="C226"/>
  <c r="H226" s="1"/>
  <c r="H91"/>
  <c r="C230"/>
  <c r="H161"/>
  <c r="H93" i="65"/>
  <c r="F132" i="66"/>
  <c r="E230" i="61"/>
  <c r="E23" i="69"/>
  <c r="E88" i="61"/>
  <c r="H169" i="66"/>
  <c r="C97" i="61"/>
  <c r="D29" i="69"/>
  <c r="C29" s="1"/>
  <c r="F24"/>
  <c r="C92" i="61"/>
  <c r="K22" i="69"/>
  <c r="F234" i="61"/>
  <c r="F194"/>
  <c r="F193" s="1"/>
  <c r="F192" s="1"/>
  <c r="F231"/>
  <c r="J23" i="69"/>
  <c r="H23" s="1"/>
  <c r="C197" i="61"/>
  <c r="J31" i="69"/>
  <c r="H31" s="1"/>
  <c r="C205" i="61"/>
  <c r="H92" i="64"/>
  <c r="H29" i="66"/>
  <c r="E194" i="61"/>
  <c r="E193" s="1"/>
  <c r="E192" s="1"/>
  <c r="J22" i="69"/>
  <c r="E234" i="61"/>
  <c r="C196"/>
  <c r="K26" i="69"/>
  <c r="C200" i="61"/>
  <c r="F233"/>
  <c r="H49" i="70"/>
  <c r="F53"/>
  <c r="H53" s="1"/>
  <c r="H197" i="97"/>
  <c r="C234"/>
  <c r="C194"/>
  <c r="F25" i="69"/>
  <c r="C25" s="1"/>
  <c r="C93" i="61"/>
  <c r="F45" i="70"/>
  <c r="H45" s="1"/>
  <c r="H37"/>
  <c r="E192" i="66"/>
  <c r="H14" i="67"/>
  <c r="F232"/>
  <c r="H233"/>
  <c r="S312" i="116" l="1"/>
  <c r="X312"/>
  <c r="E57" i="76"/>
  <c r="H57" i="61"/>
  <c r="E203" i="76"/>
  <c r="E139"/>
  <c r="H139" i="61"/>
  <c r="H240"/>
  <c r="H103" i="76"/>
  <c r="C99" i="61"/>
  <c r="H99" s="1"/>
  <c r="E232"/>
  <c r="G310" i="84"/>
  <c r="D213" i="76"/>
  <c r="H95" i="64"/>
  <c r="E202" i="76"/>
  <c r="C185" i="97"/>
  <c r="H185" s="1"/>
  <c r="G8" i="72"/>
  <c r="H198" i="61"/>
  <c r="C185" i="67"/>
  <c r="H185" s="1"/>
  <c r="C150"/>
  <c r="H150" s="1"/>
  <c r="C185" i="66"/>
  <c r="H185" s="1"/>
  <c r="C188"/>
  <c r="H188" s="1"/>
  <c r="C180" i="67"/>
  <c r="H180" s="1"/>
  <c r="C189"/>
  <c r="H189" s="1"/>
  <c r="C189" i="66"/>
  <c r="H189" s="1"/>
  <c r="C188" i="97"/>
  <c r="H188" s="1"/>
  <c r="C188" i="67"/>
  <c r="H188" s="1"/>
  <c r="D227"/>
  <c r="D225" s="1"/>
  <c r="D179"/>
  <c r="D178" s="1"/>
  <c r="D177" s="1"/>
  <c r="D207" s="1"/>
  <c r="D227" i="97"/>
  <c r="D225" s="1"/>
  <c r="D179"/>
  <c r="D178" s="1"/>
  <c r="D177" s="1"/>
  <c r="D207" s="1"/>
  <c r="C181"/>
  <c r="H181" s="1"/>
  <c r="H242" i="66"/>
  <c r="F110" i="97"/>
  <c r="C163"/>
  <c r="H163" s="1"/>
  <c r="D159"/>
  <c r="D150"/>
  <c r="C159" i="66"/>
  <c r="H159" s="1"/>
  <c r="H163"/>
  <c r="F150" i="97"/>
  <c r="F149" s="1"/>
  <c r="E109" i="66"/>
  <c r="C152" i="97"/>
  <c r="H152" s="1"/>
  <c r="C156"/>
  <c r="H156" s="1"/>
  <c r="H123" i="67"/>
  <c r="C113" i="97"/>
  <c r="H113" s="1"/>
  <c r="D116" i="66"/>
  <c r="D147" i="61"/>
  <c r="C29" i="109"/>
  <c r="H29" s="1"/>
  <c r="C21"/>
  <c r="H21" s="1"/>
  <c r="D51"/>
  <c r="C53"/>
  <c r="H53" s="1"/>
  <c r="D58"/>
  <c r="C69"/>
  <c r="H69" s="1"/>
  <c r="C43"/>
  <c r="H43" s="1"/>
  <c r="D64"/>
  <c r="C61"/>
  <c r="H61" s="1"/>
  <c r="D12"/>
  <c r="D11" s="1"/>
  <c r="D165" i="97"/>
  <c r="D44" i="109"/>
  <c r="C147" i="64"/>
  <c r="E58" i="97"/>
  <c r="E50" s="1"/>
  <c r="C62"/>
  <c r="H62" s="1"/>
  <c r="C53"/>
  <c r="H53" s="1"/>
  <c r="F51"/>
  <c r="F50" s="1"/>
  <c r="C123" i="66"/>
  <c r="H123" s="1"/>
  <c r="F147" i="61"/>
  <c r="C31" i="69"/>
  <c r="C20" i="109"/>
  <c r="H20" s="1"/>
  <c r="C49"/>
  <c r="H49" s="1"/>
  <c r="C36"/>
  <c r="H36" s="1"/>
  <c r="E147" i="61"/>
  <c r="C147" i="109"/>
  <c r="D146"/>
  <c r="D132" s="1"/>
  <c r="C56"/>
  <c r="H56" s="1"/>
  <c r="C85"/>
  <c r="H85" s="1"/>
  <c r="C120"/>
  <c r="H120" s="1"/>
  <c r="U10" i="85"/>
  <c r="A12"/>
  <c r="U12" s="1"/>
  <c r="F165" i="66"/>
  <c r="D64" i="70"/>
  <c r="D79" s="1"/>
  <c r="C54" i="97"/>
  <c r="H54" s="1"/>
  <c r="A12" i="84"/>
  <c r="E87" i="61"/>
  <c r="E86" s="1"/>
  <c r="C54" i="109"/>
  <c r="H54" s="1"/>
  <c r="C75" i="97"/>
  <c r="H75" s="1"/>
  <c r="F50" i="67"/>
  <c r="C83" i="109"/>
  <c r="H83" s="1"/>
  <c r="C82"/>
  <c r="H82" s="1"/>
  <c r="C91" i="61"/>
  <c r="C189" i="109"/>
  <c r="H189" s="1"/>
  <c r="D179"/>
  <c r="D178" s="1"/>
  <c r="D177" s="1"/>
  <c r="D207" s="1"/>
  <c r="E198" i="76"/>
  <c r="C122" i="97"/>
  <c r="H122" s="1"/>
  <c r="C193" i="67"/>
  <c r="C192" s="1"/>
  <c r="H192" s="1"/>
  <c r="C30" i="97"/>
  <c r="H30" s="1"/>
  <c r="I14" i="68"/>
  <c r="H14" s="1"/>
  <c r="C117" i="61"/>
  <c r="R321" i="116" s="1"/>
  <c r="S321" s="1"/>
  <c r="H14" i="69"/>
  <c r="E109" i="109"/>
  <c r="H12" i="66"/>
  <c r="C30" i="69"/>
  <c r="D223" i="66"/>
  <c r="C76"/>
  <c r="C32" i="69"/>
  <c r="C170" i="61"/>
  <c r="R326" i="116" s="1"/>
  <c r="S326" s="1"/>
  <c r="C88" i="64"/>
  <c r="H88" s="1"/>
  <c r="F88" i="61"/>
  <c r="F87" s="1"/>
  <c r="F86" s="1"/>
  <c r="F25" i="66"/>
  <c r="F10" s="1"/>
  <c r="E25"/>
  <c r="H90" i="61"/>
  <c r="E90" i="76"/>
  <c r="C147" i="65"/>
  <c r="E10" i="68"/>
  <c r="C10" s="1"/>
  <c r="C24" i="61"/>
  <c r="I10" i="69"/>
  <c r="H10" s="1"/>
  <c r="C151" i="61"/>
  <c r="R324" i="116" s="1"/>
  <c r="S324" s="1"/>
  <c r="C231" i="64"/>
  <c r="C229" s="1"/>
  <c r="D64" i="67"/>
  <c r="C68"/>
  <c r="F230" i="61"/>
  <c r="F229" s="1"/>
  <c r="C100"/>
  <c r="H230" i="64"/>
  <c r="C189" i="97"/>
  <c r="H189" s="1"/>
  <c r="C95" i="61"/>
  <c r="D87"/>
  <c r="D86" s="1"/>
  <c r="C12" i="67"/>
  <c r="H12" s="1"/>
  <c r="F149" i="109"/>
  <c r="F58" i="66"/>
  <c r="F50" s="1"/>
  <c r="C62"/>
  <c r="C45" i="67"/>
  <c r="H45" s="1"/>
  <c r="D51" i="66"/>
  <c r="D50" s="1"/>
  <c r="C55"/>
  <c r="C54" i="67"/>
  <c r="D51"/>
  <c r="E227" i="66"/>
  <c r="E225" s="1"/>
  <c r="E179"/>
  <c r="E178" s="1"/>
  <c r="E177" s="1"/>
  <c r="E207" s="1"/>
  <c r="C180"/>
  <c r="H180" s="1"/>
  <c r="C168"/>
  <c r="F150"/>
  <c r="C154"/>
  <c r="H154" s="1"/>
  <c r="E149"/>
  <c r="E215" s="1"/>
  <c r="F159" i="67"/>
  <c r="C163"/>
  <c r="C166"/>
  <c r="F165"/>
  <c r="C150" i="109"/>
  <c r="H150" s="1"/>
  <c r="C98" i="61"/>
  <c r="E50" i="109"/>
  <c r="H89" i="61"/>
  <c r="E89" i="76"/>
  <c r="D223" i="67"/>
  <c r="C76"/>
  <c r="F35" i="70"/>
  <c r="H35" s="1"/>
  <c r="H28"/>
  <c r="D27" i="69"/>
  <c r="D20" s="1"/>
  <c r="D19" s="1"/>
  <c r="D18" s="1"/>
  <c r="D230" i="61"/>
  <c r="D229" s="1"/>
  <c r="H91" i="65"/>
  <c r="C230"/>
  <c r="H230" s="1"/>
  <c r="C165" i="109"/>
  <c r="H165" s="1"/>
  <c r="I67" i="78"/>
  <c r="J67" s="1"/>
  <c r="H234" i="66"/>
  <c r="E160" i="76"/>
  <c r="F50" i="109"/>
  <c r="C82" i="97"/>
  <c r="H82" s="1"/>
  <c r="H156" i="66"/>
  <c r="D223" i="97"/>
  <c r="F227" i="66"/>
  <c r="F225" s="1"/>
  <c r="F179"/>
  <c r="F178" s="1"/>
  <c r="F177" s="1"/>
  <c r="F207" s="1"/>
  <c r="E149" i="109"/>
  <c r="E32" i="66"/>
  <c r="C118"/>
  <c r="F116"/>
  <c r="F109" s="1"/>
  <c r="E223" i="109"/>
  <c r="E229" i="61"/>
  <c r="D149" i="109"/>
  <c r="C232" i="67"/>
  <c r="H232" s="1"/>
  <c r="H234"/>
  <c r="C223" i="97"/>
  <c r="C123" i="109"/>
  <c r="H123" s="1"/>
  <c r="H160" i="61"/>
  <c r="H46" i="66"/>
  <c r="C44"/>
  <c r="H44" s="1"/>
  <c r="C40" i="67"/>
  <c r="E32"/>
  <c r="E10" s="1"/>
  <c r="E70" s="1"/>
  <c r="C132"/>
  <c r="H132" s="1"/>
  <c r="H193" i="66"/>
  <c r="C159" i="109"/>
  <c r="H159" s="1"/>
  <c r="H194" i="66"/>
  <c r="H26" i="69"/>
  <c r="C132" i="97"/>
  <c r="H132" s="1"/>
  <c r="H112"/>
  <c r="F32"/>
  <c r="F10" s="1"/>
  <c r="H45" i="109"/>
  <c r="H45" i="97"/>
  <c r="C44"/>
  <c r="H44" s="1"/>
  <c r="C64"/>
  <c r="H64" s="1"/>
  <c r="C123"/>
  <c r="H123" s="1"/>
  <c r="C58" i="67"/>
  <c r="E149" i="97"/>
  <c r="E109"/>
  <c r="C40"/>
  <c r="H40" s="1"/>
  <c r="E115" i="76"/>
  <c r="H115" i="61"/>
  <c r="H239" i="97"/>
  <c r="I53" i="70"/>
  <c r="J53" s="1"/>
  <c r="C242" i="97"/>
  <c r="H242" s="1"/>
  <c r="H96" i="61"/>
  <c r="E96" i="76"/>
  <c r="H34" i="97"/>
  <c r="H68" i="66"/>
  <c r="C64"/>
  <c r="C165" i="97"/>
  <c r="H52"/>
  <c r="F32" i="109"/>
  <c r="F10" s="1"/>
  <c r="H111" i="61"/>
  <c r="E111" i="76"/>
  <c r="C193" i="65"/>
  <c r="C192" s="1"/>
  <c r="H192" s="1"/>
  <c r="C12" i="97"/>
  <c r="C11" s="1"/>
  <c r="D50"/>
  <c r="H21" i="69"/>
  <c r="I20"/>
  <c r="I19" s="1"/>
  <c r="I18" s="1"/>
  <c r="H206" i="61"/>
  <c r="E206" i="76"/>
  <c r="H201" i="61"/>
  <c r="E201" i="76"/>
  <c r="E204"/>
  <c r="H204" i="61"/>
  <c r="H146" i="66"/>
  <c r="E94" i="67"/>
  <c r="E215"/>
  <c r="F232" i="61"/>
  <c r="D232"/>
  <c r="C232" i="65"/>
  <c r="H232" s="1"/>
  <c r="H234"/>
  <c r="E195" i="76"/>
  <c r="H195" i="61"/>
  <c r="H230" i="109"/>
  <c r="C193"/>
  <c r="H194"/>
  <c r="C232"/>
  <c r="H232" s="1"/>
  <c r="H233"/>
  <c r="H234" i="97"/>
  <c r="C232"/>
  <c r="H232" s="1"/>
  <c r="H197" i="61"/>
  <c r="E197" i="76"/>
  <c r="H192" i="66"/>
  <c r="H194" i="97"/>
  <c r="C193"/>
  <c r="C233" i="61"/>
  <c r="H200"/>
  <c r="E200" i="76"/>
  <c r="E233" s="1"/>
  <c r="J20" i="69"/>
  <c r="J19" s="1"/>
  <c r="J18" s="1"/>
  <c r="H22"/>
  <c r="K20"/>
  <c r="K19" s="1"/>
  <c r="K18" s="1"/>
  <c r="H93" i="61"/>
  <c r="E93" i="76"/>
  <c r="H205" i="61"/>
  <c r="E205" i="76"/>
  <c r="F20" i="69"/>
  <c r="F19" s="1"/>
  <c r="F18" s="1"/>
  <c r="C24"/>
  <c r="E97" i="76"/>
  <c r="H97" i="61"/>
  <c r="H196"/>
  <c r="E196" i="76"/>
  <c r="C194" i="61"/>
  <c r="C234"/>
  <c r="E92" i="76"/>
  <c r="C231" i="61"/>
  <c r="H92"/>
  <c r="C23" i="69"/>
  <c r="E20"/>
  <c r="E19" s="1"/>
  <c r="E18" s="1"/>
  <c r="H132" i="66"/>
  <c r="E99" i="76" l="1"/>
  <c r="E228" i="61"/>
  <c r="H8" i="72"/>
  <c r="C226" i="97"/>
  <c r="H226" s="1"/>
  <c r="H231" i="61"/>
  <c r="H98"/>
  <c r="E95" i="76"/>
  <c r="E100"/>
  <c r="H170" i="61"/>
  <c r="H234"/>
  <c r="C226" i="67"/>
  <c r="H226" s="1"/>
  <c r="E91" i="76"/>
  <c r="C226" i="66"/>
  <c r="H226" s="1"/>
  <c r="H193" i="67"/>
  <c r="C159" i="97"/>
  <c r="H159" s="1"/>
  <c r="D149"/>
  <c r="D215" s="1"/>
  <c r="C110"/>
  <c r="H110" s="1"/>
  <c r="C120" i="66"/>
  <c r="H120" s="1"/>
  <c r="C44" i="109"/>
  <c r="H44" s="1"/>
  <c r="C64"/>
  <c r="H64" s="1"/>
  <c r="C150" i="97"/>
  <c r="H150" s="1"/>
  <c r="H147" i="64"/>
  <c r="C58" i="97"/>
  <c r="H58" s="1"/>
  <c r="C58" i="109"/>
  <c r="H58" s="1"/>
  <c r="C51"/>
  <c r="H51" s="1"/>
  <c r="D50"/>
  <c r="D94" s="1"/>
  <c r="D231" s="1"/>
  <c r="D229" s="1"/>
  <c r="D228" s="1"/>
  <c r="H165" i="97"/>
  <c r="C51"/>
  <c r="H51" s="1"/>
  <c r="F149" i="66"/>
  <c r="F94" s="1"/>
  <c r="C147" i="61"/>
  <c r="H147" i="109"/>
  <c r="C146"/>
  <c r="C230" i="61"/>
  <c r="H91"/>
  <c r="H95"/>
  <c r="C30" i="109"/>
  <c r="H30" s="1"/>
  <c r="C75"/>
  <c r="H75" s="1"/>
  <c r="E12"/>
  <c r="E11" s="1"/>
  <c r="C14"/>
  <c r="D110"/>
  <c r="C112"/>
  <c r="A13" i="85"/>
  <c r="C181" i="66"/>
  <c r="C227" s="1"/>
  <c r="A13" i="84"/>
  <c r="E170" i="76"/>
  <c r="I91" i="78"/>
  <c r="J91" s="1"/>
  <c r="E98" i="76"/>
  <c r="H231" i="64"/>
  <c r="D228" i="61"/>
  <c r="H100"/>
  <c r="E10" i="66"/>
  <c r="E214" s="1"/>
  <c r="E213" s="1"/>
  <c r="E176"/>
  <c r="E208" s="1"/>
  <c r="D50" i="67"/>
  <c r="D94" s="1"/>
  <c r="C30" i="66"/>
  <c r="C25" s="1"/>
  <c r="H223" i="97"/>
  <c r="C87" i="64"/>
  <c r="H87" s="1"/>
  <c r="E94" i="66"/>
  <c r="E88" s="1"/>
  <c r="E87" s="1"/>
  <c r="E86" s="1"/>
  <c r="H117" i="61"/>
  <c r="E117" i="76"/>
  <c r="C223" i="66"/>
  <c r="H223" s="1"/>
  <c r="H76"/>
  <c r="C44" i="67"/>
  <c r="H44" s="1"/>
  <c r="F70" i="66"/>
  <c r="F94" i="109"/>
  <c r="C121"/>
  <c r="H121" s="1"/>
  <c r="F116"/>
  <c r="F109" s="1"/>
  <c r="F176" s="1"/>
  <c r="F116" i="97"/>
  <c r="F109" s="1"/>
  <c r="C121"/>
  <c r="H121" s="1"/>
  <c r="C88" i="61"/>
  <c r="C11" i="67"/>
  <c r="H11" s="1"/>
  <c r="E94" i="109"/>
  <c r="E88" s="1"/>
  <c r="E87" s="1"/>
  <c r="E86" s="1"/>
  <c r="E227" i="67"/>
  <c r="E225" s="1"/>
  <c r="E179"/>
  <c r="E178" s="1"/>
  <c r="E177" s="1"/>
  <c r="E207" s="1"/>
  <c r="H147" i="65"/>
  <c r="C149" i="109"/>
  <c r="H149" s="1"/>
  <c r="H68" i="67"/>
  <c r="C64"/>
  <c r="H64" s="1"/>
  <c r="E151" i="76"/>
  <c r="I41" i="78"/>
  <c r="J41" s="1"/>
  <c r="H151" i="61"/>
  <c r="E176" i="109"/>
  <c r="E24" i="76"/>
  <c r="H24" i="61"/>
  <c r="F228"/>
  <c r="F215" i="109"/>
  <c r="C27" i="69"/>
  <c r="C20" s="1"/>
  <c r="C19" s="1"/>
  <c r="C18" s="1"/>
  <c r="E215" i="109"/>
  <c r="C150" i="66"/>
  <c r="H150" s="1"/>
  <c r="C122" i="67"/>
  <c r="H122" s="1"/>
  <c r="E116"/>
  <c r="E109" s="1"/>
  <c r="D94" i="66"/>
  <c r="D88" s="1"/>
  <c r="D87" s="1"/>
  <c r="D86" s="1"/>
  <c r="D215"/>
  <c r="H54" i="67"/>
  <c r="C51"/>
  <c r="H51" s="1"/>
  <c r="F25"/>
  <c r="F10" s="1"/>
  <c r="F70" s="1"/>
  <c r="C30"/>
  <c r="H30" s="1"/>
  <c r="H55" i="66"/>
  <c r="C51"/>
  <c r="H51" s="1"/>
  <c r="H62"/>
  <c r="C58"/>
  <c r="H58" s="1"/>
  <c r="C120" i="67"/>
  <c r="H120" s="1"/>
  <c r="F116"/>
  <c r="F109" s="1"/>
  <c r="H168" i="66"/>
  <c r="C165"/>
  <c r="H166" i="67"/>
  <c r="C165"/>
  <c r="H165" s="1"/>
  <c r="F215" i="97"/>
  <c r="F149" i="67"/>
  <c r="H163"/>
  <c r="C159"/>
  <c r="D227" i="66"/>
  <c r="D225" s="1"/>
  <c r="D179"/>
  <c r="D178" s="1"/>
  <c r="D177" s="1"/>
  <c r="D207" s="1"/>
  <c r="H76" i="67"/>
  <c r="C223"/>
  <c r="H223" s="1"/>
  <c r="E215" i="97"/>
  <c r="H193" i="65"/>
  <c r="F227" i="67"/>
  <c r="F225" s="1"/>
  <c r="F179"/>
  <c r="F178" s="1"/>
  <c r="F177" s="1"/>
  <c r="F207" s="1"/>
  <c r="C181"/>
  <c r="C26" i="109"/>
  <c r="E179" i="97"/>
  <c r="E178" s="1"/>
  <c r="E177" s="1"/>
  <c r="E207" s="1"/>
  <c r="E227"/>
  <c r="E225" s="1"/>
  <c r="F179" i="109"/>
  <c r="F178" s="1"/>
  <c r="F177" s="1"/>
  <c r="F207" s="1"/>
  <c r="F227"/>
  <c r="F225" s="1"/>
  <c r="C26" i="67"/>
  <c r="D25"/>
  <c r="D10" s="1"/>
  <c r="C180" i="109"/>
  <c r="E179"/>
  <c r="E178" s="1"/>
  <c r="E177" s="1"/>
  <c r="E207" s="1"/>
  <c r="E227"/>
  <c r="E225" s="1"/>
  <c r="D32" i="97"/>
  <c r="C180"/>
  <c r="F179"/>
  <c r="F178" s="1"/>
  <c r="F177" s="1"/>
  <c r="F207" s="1"/>
  <c r="F227"/>
  <c r="F225" s="1"/>
  <c r="D25"/>
  <c r="C26"/>
  <c r="H118" i="66"/>
  <c r="C40"/>
  <c r="D32"/>
  <c r="D10" s="1"/>
  <c r="D70" s="1"/>
  <c r="E32" i="97"/>
  <c r="E10" s="1"/>
  <c r="E214" s="1"/>
  <c r="C41"/>
  <c r="H41" s="1"/>
  <c r="H40" i="67"/>
  <c r="C32"/>
  <c r="H32" s="1"/>
  <c r="C118" i="97"/>
  <c r="D116"/>
  <c r="D109" s="1"/>
  <c r="C41" i="109"/>
  <c r="H41" s="1"/>
  <c r="E32"/>
  <c r="C118"/>
  <c r="D116"/>
  <c r="C118" i="67"/>
  <c r="D116"/>
  <c r="E231" i="76"/>
  <c r="J35" i="69"/>
  <c r="F70" i="109"/>
  <c r="C112" i="67"/>
  <c r="D110"/>
  <c r="C74" i="97"/>
  <c r="H74" s="1"/>
  <c r="E176"/>
  <c r="D110" i="66"/>
  <c r="D109" s="1"/>
  <c r="C112"/>
  <c r="H12" i="97"/>
  <c r="E94"/>
  <c r="C74" i="67"/>
  <c r="H74" s="1"/>
  <c r="F94" i="97"/>
  <c r="F70"/>
  <c r="H58" i="67"/>
  <c r="C74" i="66"/>
  <c r="H74" s="1"/>
  <c r="C74" i="109"/>
  <c r="H74" s="1"/>
  <c r="H64" i="66"/>
  <c r="H11" i="97"/>
  <c r="D35" i="69"/>
  <c r="I35"/>
  <c r="E231" i="67"/>
  <c r="E229" s="1"/>
  <c r="E228" s="1"/>
  <c r="E88"/>
  <c r="E87" s="1"/>
  <c r="E86" s="1"/>
  <c r="H20" i="69"/>
  <c r="H19" s="1"/>
  <c r="H18" s="1"/>
  <c r="C192" i="109"/>
  <c r="H192" s="1"/>
  <c r="H193"/>
  <c r="C193" i="61"/>
  <c r="H194"/>
  <c r="F35" i="69"/>
  <c r="C192" i="97"/>
  <c r="H192" s="1"/>
  <c r="H193"/>
  <c r="E35" i="69"/>
  <c r="C232" i="61"/>
  <c r="H233"/>
  <c r="F79" i="66"/>
  <c r="F214"/>
  <c r="H229" i="64"/>
  <c r="E194" i="76"/>
  <c r="E193" s="1"/>
  <c r="E192" s="1"/>
  <c r="E234"/>
  <c r="E232" s="1"/>
  <c r="K35" i="69"/>
  <c r="E88" i="76" l="1"/>
  <c r="E87" s="1"/>
  <c r="E86" s="1"/>
  <c r="E230"/>
  <c r="E229" s="1"/>
  <c r="E228" s="1"/>
  <c r="I8" i="72"/>
  <c r="J8" s="1"/>
  <c r="K8" s="1"/>
  <c r="L8" s="1"/>
  <c r="M8" s="1"/>
  <c r="N8" s="1"/>
  <c r="O8" s="1"/>
  <c r="P8" s="1"/>
  <c r="Q8" s="1"/>
  <c r="R8" s="1"/>
  <c r="S8" s="1"/>
  <c r="T8" s="1"/>
  <c r="U8" s="1"/>
  <c r="C229" i="61"/>
  <c r="H232"/>
  <c r="H230"/>
  <c r="C87"/>
  <c r="E147" i="76"/>
  <c r="D176" i="97"/>
  <c r="D208" s="1"/>
  <c r="D94"/>
  <c r="C94" s="1"/>
  <c r="C86" i="64"/>
  <c r="H86" s="1"/>
  <c r="C116" i="66"/>
  <c r="H116" s="1"/>
  <c r="C149" i="97"/>
  <c r="H149" s="1"/>
  <c r="C50" i="109"/>
  <c r="H50" s="1"/>
  <c r="C50" i="97"/>
  <c r="H50" s="1"/>
  <c r="F176" i="66"/>
  <c r="F208" s="1"/>
  <c r="D215" i="109"/>
  <c r="F215" i="66"/>
  <c r="F213" s="1"/>
  <c r="H147" i="61"/>
  <c r="H146" i="109"/>
  <c r="C132"/>
  <c r="H132" s="1"/>
  <c r="C179" i="66"/>
  <c r="H179" s="1"/>
  <c r="E10" i="109"/>
  <c r="E214" s="1"/>
  <c r="E213" s="1"/>
  <c r="D25"/>
  <c r="H14"/>
  <c r="C12"/>
  <c r="D32"/>
  <c r="C40"/>
  <c r="H40" s="1"/>
  <c r="D223"/>
  <c r="C76"/>
  <c r="D109"/>
  <c r="D176" s="1"/>
  <c r="D208" s="1"/>
  <c r="H112"/>
  <c r="C110"/>
  <c r="H110" s="1"/>
  <c r="A15" i="85"/>
  <c r="H181" i="66"/>
  <c r="A14" i="84"/>
  <c r="V13" i="72"/>
  <c r="F88" i="109"/>
  <c r="F87" s="1"/>
  <c r="F86" s="1"/>
  <c r="E79" i="66"/>
  <c r="E224" s="1"/>
  <c r="E222" s="1"/>
  <c r="E221" s="1"/>
  <c r="E70"/>
  <c r="H30"/>
  <c r="E231"/>
  <c r="E229" s="1"/>
  <c r="E228" s="1"/>
  <c r="D88" i="109"/>
  <c r="D87" s="1"/>
  <c r="D86" s="1"/>
  <c r="D231" i="66"/>
  <c r="D229" s="1"/>
  <c r="D228" s="1"/>
  <c r="D88" i="67"/>
  <c r="D87" s="1"/>
  <c r="D86" s="1"/>
  <c r="D231"/>
  <c r="D229" s="1"/>
  <c r="D228" s="1"/>
  <c r="D215"/>
  <c r="D70"/>
  <c r="E79"/>
  <c r="E73" s="1"/>
  <c r="E72" s="1"/>
  <c r="E71" s="1"/>
  <c r="E101" s="1"/>
  <c r="E102" s="1"/>
  <c r="E231" i="109"/>
  <c r="E229" s="1"/>
  <c r="E228" s="1"/>
  <c r="F79"/>
  <c r="F231"/>
  <c r="F229" s="1"/>
  <c r="F228" s="1"/>
  <c r="H88" i="61"/>
  <c r="F214" i="109"/>
  <c r="F213" s="1"/>
  <c r="E79" i="97"/>
  <c r="E224" s="1"/>
  <c r="E222" s="1"/>
  <c r="E221" s="1"/>
  <c r="F208" i="109"/>
  <c r="E208" i="97"/>
  <c r="F79"/>
  <c r="F73" s="1"/>
  <c r="F72" s="1"/>
  <c r="F71" s="1"/>
  <c r="E208" i="109"/>
  <c r="C94" i="66"/>
  <c r="C231" s="1"/>
  <c r="F176" i="97"/>
  <c r="F208" s="1"/>
  <c r="F214"/>
  <c r="F213" s="1"/>
  <c r="C94" i="109"/>
  <c r="H94" s="1"/>
  <c r="F214" i="67"/>
  <c r="C50" i="66"/>
  <c r="H50" s="1"/>
  <c r="C50" i="67"/>
  <c r="H50" s="1"/>
  <c r="E213" i="97"/>
  <c r="C32"/>
  <c r="H32" s="1"/>
  <c r="E176" i="67"/>
  <c r="E208" s="1"/>
  <c r="E214"/>
  <c r="E213" s="1"/>
  <c r="C149" i="66"/>
  <c r="H149" s="1"/>
  <c r="H165"/>
  <c r="H159" i="67"/>
  <c r="C149"/>
  <c r="H149" s="1"/>
  <c r="F94"/>
  <c r="F215"/>
  <c r="F176"/>
  <c r="F208" s="1"/>
  <c r="F231" i="66"/>
  <c r="F229" s="1"/>
  <c r="F228" s="1"/>
  <c r="F88"/>
  <c r="F87" s="1"/>
  <c r="F86" s="1"/>
  <c r="E70" i="97"/>
  <c r="D10"/>
  <c r="F79" i="67"/>
  <c r="F224" s="1"/>
  <c r="F222" s="1"/>
  <c r="F221" s="1"/>
  <c r="H26" i="109"/>
  <c r="C25"/>
  <c r="H26" i="97"/>
  <c r="C25"/>
  <c r="H180" i="109"/>
  <c r="C179"/>
  <c r="C227"/>
  <c r="H26" i="67"/>
  <c r="C25"/>
  <c r="H180" i="97"/>
  <c r="C179"/>
  <c r="C227"/>
  <c r="H181" i="67"/>
  <c r="C227"/>
  <c r="C179"/>
  <c r="C225" i="66"/>
  <c r="H225" s="1"/>
  <c r="H227"/>
  <c r="H40"/>
  <c r="C32"/>
  <c r="H32" s="1"/>
  <c r="H35" i="69"/>
  <c r="D109" i="67"/>
  <c r="D79" s="1"/>
  <c r="C116"/>
  <c r="H116" s="1"/>
  <c r="H118"/>
  <c r="H118" i="109"/>
  <c r="C116"/>
  <c r="C116" i="97"/>
  <c r="H118"/>
  <c r="E88"/>
  <c r="E87" s="1"/>
  <c r="E86" s="1"/>
  <c r="E231"/>
  <c r="E229" s="1"/>
  <c r="E228" s="1"/>
  <c r="D176" i="66"/>
  <c r="D208" s="1"/>
  <c r="D79"/>
  <c r="D214"/>
  <c r="D213" s="1"/>
  <c r="F231" i="97"/>
  <c r="F229" s="1"/>
  <c r="F228" s="1"/>
  <c r="F88"/>
  <c r="F87" s="1"/>
  <c r="F86" s="1"/>
  <c r="C110" i="66"/>
  <c r="H112"/>
  <c r="H112" i="67"/>
  <c r="C110"/>
  <c r="H25" i="66"/>
  <c r="C35" i="69"/>
  <c r="F73" i="66"/>
  <c r="F72" s="1"/>
  <c r="F71" s="1"/>
  <c r="F224"/>
  <c r="F222" s="1"/>
  <c r="F221" s="1"/>
  <c r="H193" i="61"/>
  <c r="C192"/>
  <c r="C27" i="75"/>
  <c r="D10" i="109" l="1"/>
  <c r="D70" s="1"/>
  <c r="H229" i="61"/>
  <c r="C228"/>
  <c r="H228" s="1"/>
  <c r="C86"/>
  <c r="H87"/>
  <c r="C15" i="75"/>
  <c r="R15" s="1"/>
  <c r="D231" i="97"/>
  <c r="D229" s="1"/>
  <c r="D228" s="1"/>
  <c r="D88"/>
  <c r="D87" s="1"/>
  <c r="D86" s="1"/>
  <c r="C215" i="109"/>
  <c r="H215" s="1"/>
  <c r="E79"/>
  <c r="E73" s="1"/>
  <c r="E72" s="1"/>
  <c r="E71" s="1"/>
  <c r="E101" s="1"/>
  <c r="C215" i="97"/>
  <c r="H215" s="1"/>
  <c r="C32" i="109"/>
  <c r="H32" s="1"/>
  <c r="C178" i="66"/>
  <c r="C177" s="1"/>
  <c r="C79"/>
  <c r="C224" s="1"/>
  <c r="E70" i="109"/>
  <c r="E73" i="66"/>
  <c r="E72" s="1"/>
  <c r="E71" s="1"/>
  <c r="E101" s="1"/>
  <c r="E102" s="1"/>
  <c r="H25" i="109"/>
  <c r="E220" i="66"/>
  <c r="H12" i="109"/>
  <c r="C11"/>
  <c r="H11" s="1"/>
  <c r="H76"/>
  <c r="C223"/>
  <c r="H223" s="1"/>
  <c r="U15" i="85"/>
  <c r="A16"/>
  <c r="A15" i="84"/>
  <c r="F73" i="109"/>
  <c r="F72" s="1"/>
  <c r="F71" s="1"/>
  <c r="F101" s="1"/>
  <c r="F102" s="1"/>
  <c r="F224"/>
  <c r="F222" s="1"/>
  <c r="F221" s="1"/>
  <c r="F220" s="1"/>
  <c r="E224" i="67"/>
  <c r="E222" s="1"/>
  <c r="E221" s="1"/>
  <c r="E220" s="1"/>
  <c r="F73"/>
  <c r="F72" s="1"/>
  <c r="F71" s="1"/>
  <c r="C88" i="66"/>
  <c r="C87" s="1"/>
  <c r="H94"/>
  <c r="C231" i="109"/>
  <c r="C229" s="1"/>
  <c r="H229" s="1"/>
  <c r="F213" i="67"/>
  <c r="C88" i="109"/>
  <c r="C87" s="1"/>
  <c r="C86" s="1"/>
  <c r="H86" s="1"/>
  <c r="F220" i="66"/>
  <c r="C215" i="67"/>
  <c r="H215" s="1"/>
  <c r="E73" i="97"/>
  <c r="E72" s="1"/>
  <c r="E71" s="1"/>
  <c r="E101" s="1"/>
  <c r="E102" s="1"/>
  <c r="F224"/>
  <c r="F222" s="1"/>
  <c r="F221" s="1"/>
  <c r="F220" s="1"/>
  <c r="E220"/>
  <c r="C215" i="66"/>
  <c r="H215" s="1"/>
  <c r="F101"/>
  <c r="F102" s="1"/>
  <c r="C10"/>
  <c r="H10" s="1"/>
  <c r="F231" i="67"/>
  <c r="F229" s="1"/>
  <c r="F228" s="1"/>
  <c r="F220" s="1"/>
  <c r="F88"/>
  <c r="F87" s="1"/>
  <c r="F86" s="1"/>
  <c r="C94"/>
  <c r="D214" i="97"/>
  <c r="D213" s="1"/>
  <c r="D70"/>
  <c r="D214" i="67"/>
  <c r="D213" s="1"/>
  <c r="D79" i="97"/>
  <c r="C225"/>
  <c r="H225" s="1"/>
  <c r="H227"/>
  <c r="H25" i="67"/>
  <c r="C10"/>
  <c r="C225"/>
  <c r="H225" s="1"/>
  <c r="H227"/>
  <c r="D176"/>
  <c r="D208" s="1"/>
  <c r="C225" i="109"/>
  <c r="H225" s="1"/>
  <c r="H227"/>
  <c r="H25" i="97"/>
  <c r="C10"/>
  <c r="H179" i="67"/>
  <c r="C178"/>
  <c r="C178" i="97"/>
  <c r="H179"/>
  <c r="C178" i="109"/>
  <c r="H179"/>
  <c r="H116" i="97"/>
  <c r="C109"/>
  <c r="H116" i="109"/>
  <c r="C109"/>
  <c r="C231" i="97"/>
  <c r="H94"/>
  <c r="C88"/>
  <c r="H110" i="67"/>
  <c r="C109"/>
  <c r="D224" i="66"/>
  <c r="D222" s="1"/>
  <c r="D221" s="1"/>
  <c r="D220" s="1"/>
  <c r="D73"/>
  <c r="D72" s="1"/>
  <c r="D71" s="1"/>
  <c r="D101" s="1"/>
  <c r="D102" s="1"/>
  <c r="F101" i="97"/>
  <c r="F102" s="1"/>
  <c r="H110" i="66"/>
  <c r="C109"/>
  <c r="D73" i="67"/>
  <c r="D72" s="1"/>
  <c r="D71" s="1"/>
  <c r="D101" s="1"/>
  <c r="D102" s="1"/>
  <c r="C79"/>
  <c r="D224"/>
  <c r="D222" s="1"/>
  <c r="D221" s="1"/>
  <c r="D220" s="1"/>
  <c r="R71" i="85"/>
  <c r="H192" i="61"/>
  <c r="H231" i="66"/>
  <c r="C229"/>
  <c r="S27" i="75"/>
  <c r="R27"/>
  <c r="D79" i="109" l="1"/>
  <c r="D73" s="1"/>
  <c r="D72" s="1"/>
  <c r="D71" s="1"/>
  <c r="D101" s="1"/>
  <c r="D102" s="1"/>
  <c r="D214"/>
  <c r="D213" s="1"/>
  <c r="I71" i="85"/>
  <c r="H86" i="61"/>
  <c r="S15" i="75"/>
  <c r="E224" i="109"/>
  <c r="E222" s="1"/>
  <c r="E221" s="1"/>
  <c r="E220" s="1"/>
  <c r="E102"/>
  <c r="H178" i="66"/>
  <c r="C73"/>
  <c r="C72" s="1"/>
  <c r="H79"/>
  <c r="C10" i="109"/>
  <c r="C70" s="1"/>
  <c r="A18" i="85"/>
  <c r="U16"/>
  <c r="U17" s="1"/>
  <c r="A16" i="84"/>
  <c r="V8" i="72"/>
  <c r="H231" i="109"/>
  <c r="H88" i="66"/>
  <c r="F101" i="67"/>
  <c r="F102" s="1"/>
  <c r="H87" i="109"/>
  <c r="H88"/>
  <c r="C70" i="66"/>
  <c r="C214"/>
  <c r="H214" s="1"/>
  <c r="C228" i="109"/>
  <c r="H228" s="1"/>
  <c r="C231" i="67"/>
  <c r="H94"/>
  <c r="C88"/>
  <c r="D73" i="97"/>
  <c r="D72" s="1"/>
  <c r="D71" s="1"/>
  <c r="D101" s="1"/>
  <c r="D102" s="1"/>
  <c r="C79"/>
  <c r="D224"/>
  <c r="D222" s="1"/>
  <c r="D221" s="1"/>
  <c r="D220" s="1"/>
  <c r="H178" i="109"/>
  <c r="C177"/>
  <c r="H178" i="67"/>
  <c r="C177"/>
  <c r="H178" i="97"/>
  <c r="C177"/>
  <c r="H10"/>
  <c r="C70"/>
  <c r="H177" i="66"/>
  <c r="C207"/>
  <c r="H10" i="67"/>
  <c r="C70"/>
  <c r="C176" i="97"/>
  <c r="H109"/>
  <c r="C214"/>
  <c r="C176" i="109"/>
  <c r="H109"/>
  <c r="C176" i="66"/>
  <c r="H109"/>
  <c r="C176" i="67"/>
  <c r="H109"/>
  <c r="C214"/>
  <c r="C229" i="97"/>
  <c r="H231"/>
  <c r="C87"/>
  <c r="H88"/>
  <c r="C73" i="67"/>
  <c r="H79"/>
  <c r="C224"/>
  <c r="H229" i="66"/>
  <c r="C228"/>
  <c r="H228" s="1"/>
  <c r="C222"/>
  <c r="H224"/>
  <c r="H87"/>
  <c r="C86"/>
  <c r="H86" s="1"/>
  <c r="C79" i="109" l="1"/>
  <c r="C224" s="1"/>
  <c r="D224"/>
  <c r="D222" s="1"/>
  <c r="D221" s="1"/>
  <c r="D220" s="1"/>
  <c r="H70"/>
  <c r="C214"/>
  <c r="C213" s="1"/>
  <c r="H213" s="1"/>
  <c r="H10"/>
  <c r="H73" i="66"/>
  <c r="A22" i="85"/>
  <c r="U18"/>
  <c r="U19" s="1"/>
  <c r="A17" i="84"/>
  <c r="H70" i="66"/>
  <c r="C213"/>
  <c r="H213" s="1"/>
  <c r="C87" i="67"/>
  <c r="H88"/>
  <c r="C229"/>
  <c r="H231"/>
  <c r="C73" i="97"/>
  <c r="H79"/>
  <c r="C224"/>
  <c r="H70" i="67"/>
  <c r="H207" i="66"/>
  <c r="H177" i="97"/>
  <c r="C207"/>
  <c r="C207" i="67"/>
  <c r="C208" s="1"/>
  <c r="H177"/>
  <c r="C207" i="109"/>
  <c r="H177"/>
  <c r="H70" i="97"/>
  <c r="H214"/>
  <c r="C213"/>
  <c r="H213" s="1"/>
  <c r="H176" i="109"/>
  <c r="H176" i="97"/>
  <c r="H73" i="67"/>
  <c r="C72"/>
  <c r="C213"/>
  <c r="H213" s="1"/>
  <c r="H214"/>
  <c r="C86" i="97"/>
  <c r="H86" s="1"/>
  <c r="H87"/>
  <c r="C228"/>
  <c r="H228" s="1"/>
  <c r="H229"/>
  <c r="H176" i="66"/>
  <c r="C208"/>
  <c r="H176" i="67"/>
  <c r="H224"/>
  <c r="C222"/>
  <c r="H222" i="66"/>
  <c r="C221"/>
  <c r="H72"/>
  <c r="C71"/>
  <c r="A23" i="85" l="1"/>
  <c r="H208" i="66"/>
  <c r="H208" i="67"/>
  <c r="H79" i="109"/>
  <c r="C73"/>
  <c r="H73" s="1"/>
  <c r="H224"/>
  <c r="C222"/>
  <c r="H222" s="1"/>
  <c r="H207"/>
  <c r="C208" i="97"/>
  <c r="H214" i="109"/>
  <c r="A18" i="84"/>
  <c r="C208" i="109"/>
  <c r="H229" i="67"/>
  <c r="C228"/>
  <c r="H228" s="1"/>
  <c r="C86"/>
  <c r="H86" s="1"/>
  <c r="H87"/>
  <c r="C72" i="97"/>
  <c r="H73"/>
  <c r="C222"/>
  <c r="H224"/>
  <c r="H207" i="67"/>
  <c r="H207" i="97"/>
  <c r="H72" i="67"/>
  <c r="C71"/>
  <c r="C221"/>
  <c r="H222"/>
  <c r="H71" i="66"/>
  <c r="C101"/>
  <c r="C220"/>
  <c r="H220" s="1"/>
  <c r="H221"/>
  <c r="A24" i="85" l="1"/>
  <c r="U23"/>
  <c r="H208" i="97"/>
  <c r="H208" i="109"/>
  <c r="C72"/>
  <c r="C71" s="1"/>
  <c r="C101" s="1"/>
  <c r="C221"/>
  <c r="H221" s="1"/>
  <c r="A19" i="84"/>
  <c r="H72" i="97"/>
  <c r="C71"/>
  <c r="H222"/>
  <c r="C221"/>
  <c r="C220" i="67"/>
  <c r="H220" s="1"/>
  <c r="H221"/>
  <c r="H71"/>
  <c r="C101"/>
  <c r="H101" i="66"/>
  <c r="C102"/>
  <c r="H102" s="1"/>
  <c r="A26" i="85" l="1"/>
  <c r="U25"/>
  <c r="H71" i="109"/>
  <c r="H72"/>
  <c r="C220"/>
  <c r="H220" s="1"/>
  <c r="A20" i="84"/>
  <c r="H71" i="97"/>
  <c r="C101"/>
  <c r="H221"/>
  <c r="C220"/>
  <c r="H220" s="1"/>
  <c r="C102" i="109"/>
  <c r="H102" s="1"/>
  <c r="H101"/>
  <c r="C102" i="67"/>
  <c r="H102" s="1"/>
  <c r="H101"/>
  <c r="A27" i="85" l="1"/>
  <c r="A21" i="84"/>
  <c r="H101" i="97"/>
  <c r="C102"/>
  <c r="H102" s="1"/>
  <c r="A28" i="85" l="1"/>
  <c r="U27"/>
  <c r="A22" i="84"/>
  <c r="U28" i="85" l="1"/>
  <c r="U29" s="1"/>
  <c r="A30"/>
  <c r="A23" i="84"/>
  <c r="A34" i="85" l="1"/>
  <c r="U30"/>
  <c r="U31" s="1"/>
  <c r="U32" s="1"/>
  <c r="A24" i="84"/>
  <c r="A35" i="85" l="1"/>
  <c r="A25" i="84"/>
  <c r="A36" i="85" l="1"/>
  <c r="A26" i="84"/>
  <c r="U37" i="85" l="1"/>
  <c r="A38"/>
  <c r="A27" i="84"/>
  <c r="A40" i="85" l="1"/>
  <c r="U38"/>
  <c r="U39" s="1"/>
  <c r="A28" i="84"/>
  <c r="A44" i="85" l="1"/>
  <c r="U40"/>
  <c r="U41" s="1"/>
  <c r="U42" s="1"/>
  <c r="A29" i="84"/>
  <c r="A45" i="85" l="1"/>
  <c r="A30" i="84"/>
  <c r="A46" i="85" l="1"/>
  <c r="A31" i="84"/>
  <c r="A48" i="85" l="1"/>
  <c r="A32" i="84"/>
  <c r="U48" i="85" l="1"/>
  <c r="U49" s="1"/>
  <c r="A50"/>
  <c r="A33" i="84"/>
  <c r="A54" i="85" l="1"/>
  <c r="U50"/>
  <c r="U51" s="1"/>
  <c r="A34" i="84"/>
  <c r="U54" i="85" l="1"/>
  <c r="U55" s="1"/>
  <c r="A56"/>
  <c r="A35" i="84"/>
  <c r="U57" i="85" l="1"/>
  <c r="A58"/>
  <c r="A36" i="84"/>
  <c r="A62" i="85" l="1"/>
  <c r="U58"/>
  <c r="U59" s="1"/>
  <c r="U60" s="1"/>
  <c r="A37" i="84"/>
  <c r="U63" i="85" l="1"/>
  <c r="A64"/>
  <c r="A38" i="84"/>
  <c r="A66" i="85" l="1"/>
  <c r="U66" s="1"/>
  <c r="U67" s="1"/>
  <c r="U64"/>
  <c r="U65" s="1"/>
  <c r="A39" i="84"/>
  <c r="U68" i="85" l="1"/>
  <c r="A40" i="84"/>
  <c r="A41" l="1"/>
  <c r="A42" l="1"/>
  <c r="A43" l="1"/>
  <c r="A44" l="1"/>
  <c r="A45" l="1"/>
  <c r="A46" l="1"/>
  <c r="A47" l="1"/>
  <c r="A48" l="1"/>
  <c r="A49" l="1"/>
  <c r="A50" l="1"/>
  <c r="A51" l="1"/>
  <c r="A52" l="1"/>
  <c r="A53" l="1"/>
  <c r="A54" l="1"/>
  <c r="A55" l="1"/>
  <c r="A56" l="1"/>
  <c r="A57" l="1"/>
  <c r="A58" l="1"/>
  <c r="A59" l="1"/>
  <c r="A60" l="1"/>
  <c r="A61" l="1"/>
  <c r="A62" l="1"/>
  <c r="A63" l="1"/>
  <c r="A64" l="1"/>
  <c r="A65" l="1"/>
  <c r="A66" l="1"/>
  <c r="A67" l="1"/>
  <c r="A68" s="1"/>
  <c r="A69" l="1"/>
  <c r="A70" l="1"/>
  <c r="A71" l="1"/>
  <c r="A72" l="1"/>
  <c r="A73" l="1"/>
  <c r="A74" l="1"/>
  <c r="A75" l="1"/>
  <c r="A76" l="1"/>
  <c r="A77" l="1"/>
  <c r="A78" l="1"/>
  <c r="A79" l="1"/>
  <c r="A81" l="1"/>
  <c r="A82" l="1"/>
  <c r="A83" l="1"/>
  <c r="A84" l="1"/>
  <c r="A85" l="1"/>
  <c r="H289"/>
  <c r="N289"/>
  <c r="A86" l="1"/>
  <c r="G289"/>
  <c r="A88" l="1"/>
  <c r="A92" l="1"/>
  <c r="A93" l="1"/>
  <c r="A94" l="1"/>
  <c r="A95" l="1"/>
  <c r="A96" l="1"/>
  <c r="A98" l="1"/>
  <c r="A99" l="1"/>
  <c r="A100" l="1"/>
  <c r="A102" l="1"/>
  <c r="A103" l="1"/>
  <c r="A104" l="1"/>
  <c r="A105" l="1"/>
  <c r="H290"/>
  <c r="N290"/>
  <c r="A106" l="1"/>
  <c r="O293"/>
  <c r="L293"/>
  <c r="K293"/>
  <c r="Q293"/>
  <c r="P293"/>
  <c r="M293"/>
  <c r="J293"/>
  <c r="I293"/>
  <c r="R48" i="85"/>
  <c r="R49" s="1"/>
  <c r="N48"/>
  <c r="N49" s="1"/>
  <c r="K295" i="84"/>
  <c r="J295"/>
  <c r="P48" i="85"/>
  <c r="P49" s="1"/>
  <c r="Q48"/>
  <c r="Q49" s="1"/>
  <c r="M295" i="84"/>
  <c r="I295"/>
  <c r="G290"/>
  <c r="H292"/>
  <c r="H293" s="1"/>
  <c r="N292"/>
  <c r="N293" s="1"/>
  <c r="A107" l="1"/>
  <c r="O48" i="85"/>
  <c r="O49" s="1"/>
  <c r="L48"/>
  <c r="L49" s="1"/>
  <c r="M48"/>
  <c r="M49" s="1"/>
  <c r="K48"/>
  <c r="K49" s="1"/>
  <c r="Q50"/>
  <c r="Q51" s="1"/>
  <c r="P295" i="84"/>
  <c r="P50" i="85"/>
  <c r="P51" s="1"/>
  <c r="O295" i="84"/>
  <c r="N50" i="85"/>
  <c r="N51" s="1"/>
  <c r="L295" i="84"/>
  <c r="R50" i="85"/>
  <c r="R51" s="1"/>
  <c r="Q295" i="84"/>
  <c r="K299"/>
  <c r="Q299"/>
  <c r="M299"/>
  <c r="O50" i="85"/>
  <c r="O51" s="1"/>
  <c r="L299" i="84"/>
  <c r="P299"/>
  <c r="M50" i="85"/>
  <c r="M51" s="1"/>
  <c r="K50"/>
  <c r="L50"/>
  <c r="L51" s="1"/>
  <c r="J299" i="84"/>
  <c r="N294"/>
  <c r="I299"/>
  <c r="H298"/>
  <c r="H299" s="1"/>
  <c r="O299"/>
  <c r="N298"/>
  <c r="K54" i="85"/>
  <c r="K55" s="1"/>
  <c r="P54"/>
  <c r="P55" s="1"/>
  <c r="G292" i="84"/>
  <c r="G293" s="1"/>
  <c r="H294"/>
  <c r="H295" s="1"/>
  <c r="A108" l="1"/>
  <c r="S48" i="85"/>
  <c r="S49" s="1"/>
  <c r="L54"/>
  <c r="L55" s="1"/>
  <c r="Q54"/>
  <c r="Q55" s="1"/>
  <c r="M54"/>
  <c r="M55" s="1"/>
  <c r="O54"/>
  <c r="O55" s="1"/>
  <c r="N54"/>
  <c r="N55" s="1"/>
  <c r="R54"/>
  <c r="R55" s="1"/>
  <c r="N295" i="84"/>
  <c r="S50" i="85"/>
  <c r="K51"/>
  <c r="G298" i="84"/>
  <c r="G299" s="1"/>
  <c r="N299"/>
  <c r="N301"/>
  <c r="H301"/>
  <c r="G294"/>
  <c r="A112" l="1"/>
  <c r="S54" i="85"/>
  <c r="S55" s="1"/>
  <c r="G295" i="84"/>
  <c r="L304"/>
  <c r="M304"/>
  <c r="S51" i="85"/>
  <c r="Q304" i="84"/>
  <c r="K304"/>
  <c r="J304"/>
  <c r="P304"/>
  <c r="O304"/>
  <c r="N303"/>
  <c r="N304" s="1"/>
  <c r="I304"/>
  <c r="H303"/>
  <c r="G301"/>
  <c r="A113" l="1"/>
  <c r="H307"/>
  <c r="G303"/>
  <c r="G304" s="1"/>
  <c r="H304"/>
  <c r="N307"/>
  <c r="A114" l="1"/>
  <c r="N308"/>
  <c r="H308"/>
  <c r="G307"/>
  <c r="A115" l="1"/>
  <c r="G308"/>
  <c r="N309"/>
  <c r="H309"/>
  <c r="J312"/>
  <c r="K312"/>
  <c r="M312"/>
  <c r="P312"/>
  <c r="L312"/>
  <c r="Q312"/>
  <c r="A116" l="1"/>
  <c r="M58" i="85"/>
  <c r="M59" s="1"/>
  <c r="R58"/>
  <c r="R59" s="1"/>
  <c r="Q58"/>
  <c r="Q59" s="1"/>
  <c r="H311" i="84"/>
  <c r="H312" s="1"/>
  <c r="I312"/>
  <c r="G309"/>
  <c r="K314"/>
  <c r="J314"/>
  <c r="P314"/>
  <c r="L314"/>
  <c r="Q314"/>
  <c r="M314"/>
  <c r="N311"/>
  <c r="N312" s="1"/>
  <c r="O312"/>
  <c r="A117" l="1"/>
  <c r="I314"/>
  <c r="O314"/>
  <c r="H313"/>
  <c r="H314" s="1"/>
  <c r="N313"/>
  <c r="N314" s="1"/>
  <c r="G311"/>
  <c r="G312" s="1"/>
  <c r="P316"/>
  <c r="L316"/>
  <c r="Q316"/>
  <c r="M316"/>
  <c r="K64" i="85"/>
  <c r="K65" s="1"/>
  <c r="P64"/>
  <c r="P65" s="1"/>
  <c r="J316" i="84"/>
  <c r="K316"/>
  <c r="A119" l="1"/>
  <c r="O64" i="85"/>
  <c r="O65" s="1"/>
  <c r="L64"/>
  <c r="L65" s="1"/>
  <c r="R64"/>
  <c r="R65" s="1"/>
  <c r="Q64"/>
  <c r="Q65" s="1"/>
  <c r="M64"/>
  <c r="M65" s="1"/>
  <c r="N64"/>
  <c r="N65" s="1"/>
  <c r="P66"/>
  <c r="P67" s="1"/>
  <c r="O316" i="84"/>
  <c r="O317" s="1"/>
  <c r="K66" i="85"/>
  <c r="K67" s="1"/>
  <c r="I316" i="84"/>
  <c r="I317" s="1"/>
  <c r="L317"/>
  <c r="N66" i="85"/>
  <c r="N67" s="1"/>
  <c r="J317" i="84"/>
  <c r="L66" i="85"/>
  <c r="L67" s="1"/>
  <c r="Q317" i="84"/>
  <c r="R66" i="85"/>
  <c r="R67" s="1"/>
  <c r="K317" i="84"/>
  <c r="M66" i="85"/>
  <c r="M67" s="1"/>
  <c r="M317" i="84"/>
  <c r="O66" i="85"/>
  <c r="O67" s="1"/>
  <c r="P317" i="84"/>
  <c r="Q66" i="85"/>
  <c r="Q67" s="1"/>
  <c r="H315" i="84"/>
  <c r="H316" s="1"/>
  <c r="G313"/>
  <c r="G314" s="1"/>
  <c r="N315"/>
  <c r="A121" l="1"/>
  <c r="S64" i="85"/>
  <c r="S65" s="1"/>
  <c r="P58"/>
  <c r="P59" s="1"/>
  <c r="O58"/>
  <c r="O59" s="1"/>
  <c r="L58"/>
  <c r="L59" s="1"/>
  <c r="N58"/>
  <c r="N59" s="1"/>
  <c r="K58"/>
  <c r="N316" i="84"/>
  <c r="N317" s="1"/>
  <c r="R62" i="85"/>
  <c r="R63" s="1"/>
  <c r="R68" s="1"/>
  <c r="N62"/>
  <c r="N63" s="1"/>
  <c r="N68" s="1"/>
  <c r="S66"/>
  <c r="M62"/>
  <c r="M63" s="1"/>
  <c r="M68" s="1"/>
  <c r="L62"/>
  <c r="L63" s="1"/>
  <c r="L68" s="1"/>
  <c r="Q62"/>
  <c r="Q63" s="1"/>
  <c r="Q68" s="1"/>
  <c r="O62"/>
  <c r="O63" s="1"/>
  <c r="O68" s="1"/>
  <c r="P62"/>
  <c r="P63" s="1"/>
  <c r="P68" s="1"/>
  <c r="K62"/>
  <c r="H317" i="84"/>
  <c r="G315"/>
  <c r="A125" l="1"/>
  <c r="K59" i="85"/>
  <c r="S58"/>
  <c r="S59" s="1"/>
  <c r="G316" i="84"/>
  <c r="G317" s="1"/>
  <c r="S62" i="85"/>
  <c r="K63"/>
  <c r="K68" s="1"/>
  <c r="S67"/>
  <c r="A126" i="84" l="1"/>
  <c r="S63" i="85"/>
  <c r="S68" s="1"/>
  <c r="Y68" s="1"/>
  <c r="A127" i="84" l="1"/>
  <c r="A128" l="1"/>
  <c r="A129" l="1"/>
  <c r="A131" l="1"/>
  <c r="M128"/>
  <c r="H128"/>
  <c r="G128" l="1"/>
  <c r="J132"/>
  <c r="O132"/>
  <c r="L132"/>
  <c r="K132"/>
  <c r="A133"/>
  <c r="P132"/>
  <c r="H129"/>
  <c r="M129"/>
  <c r="G129" l="1"/>
  <c r="N132"/>
  <c r="M131"/>
  <c r="M132" s="1"/>
  <c r="I132"/>
  <c r="H131"/>
  <c r="A137"/>
  <c r="E48" i="85" l="1"/>
  <c r="E49" s="1"/>
  <c r="E50"/>
  <c r="E51" s="1"/>
  <c r="K134" i="84"/>
  <c r="F48" i="85"/>
  <c r="F49" s="1"/>
  <c r="L134" i="84"/>
  <c r="D48" i="85"/>
  <c r="D49" s="1"/>
  <c r="D50"/>
  <c r="D51" s="1"/>
  <c r="J134" i="84"/>
  <c r="G48" i="85"/>
  <c r="G49" s="1"/>
  <c r="N134" i="84"/>
  <c r="M133"/>
  <c r="M134" s="1"/>
  <c r="C48" i="85"/>
  <c r="H133" i="84"/>
  <c r="I134"/>
  <c r="K138"/>
  <c r="A139"/>
  <c r="O138"/>
  <c r="H48" i="85"/>
  <c r="H49" s="1"/>
  <c r="O134" i="84"/>
  <c r="H50" i="85"/>
  <c r="H51" s="1"/>
  <c r="I48"/>
  <c r="I49" s="1"/>
  <c r="P134" i="84"/>
  <c r="I50" i="85"/>
  <c r="I51" s="1"/>
  <c r="H132" i="84"/>
  <c r="G131"/>
  <c r="G132" s="1"/>
  <c r="A140" l="1"/>
  <c r="G133"/>
  <c r="G134" s="1"/>
  <c r="H134"/>
  <c r="C50" i="85"/>
  <c r="H137" i="84"/>
  <c r="I138"/>
  <c r="C54" i="85"/>
  <c r="F50"/>
  <c r="F51" s="1"/>
  <c r="F54"/>
  <c r="F55" s="1"/>
  <c r="L138" i="84"/>
  <c r="G50" i="85"/>
  <c r="G51" s="1"/>
  <c r="M137" i="84"/>
  <c r="M138" s="1"/>
  <c r="N138"/>
  <c r="J138"/>
  <c r="D54" i="85"/>
  <c r="D55" s="1"/>
  <c r="P138" i="84"/>
  <c r="I54" i="85"/>
  <c r="I55" s="1"/>
  <c r="J48"/>
  <c r="C49"/>
  <c r="U47"/>
  <c r="U52" s="1"/>
  <c r="D77" i="77"/>
  <c r="D82" s="1"/>
  <c r="H138" i="84" l="1"/>
  <c r="G137"/>
  <c r="G138" s="1"/>
  <c r="T48" i="85"/>
  <c r="J49"/>
  <c r="E54"/>
  <c r="E55" s="1"/>
  <c r="J141" i="84"/>
  <c r="O141"/>
  <c r="N141"/>
  <c r="L141"/>
  <c r="K141"/>
  <c r="A142"/>
  <c r="P141"/>
  <c r="C55" i="85"/>
  <c r="H54"/>
  <c r="H55" s="1"/>
  <c r="J50"/>
  <c r="C51"/>
  <c r="G54"/>
  <c r="G55" s="1"/>
  <c r="M139" i="84"/>
  <c r="H139"/>
  <c r="D84" i="77"/>
  <c r="D136" s="1"/>
  <c r="U13" i="85" s="1"/>
  <c r="D56" l="1"/>
  <c r="D57" s="1"/>
  <c r="F56"/>
  <c r="F57" s="1"/>
  <c r="H140" i="84"/>
  <c r="H141" s="1"/>
  <c r="L143"/>
  <c r="L144" s="1"/>
  <c r="A146"/>
  <c r="J54" i="85"/>
  <c r="G139" i="84"/>
  <c r="V48" i="85"/>
  <c r="V49" s="1"/>
  <c r="T49"/>
  <c r="I141" i="84"/>
  <c r="M140"/>
  <c r="M141" s="1"/>
  <c r="J51" i="85"/>
  <c r="T50"/>
  <c r="U14"/>
  <c r="U20" s="1"/>
  <c r="U70" s="1"/>
  <c r="U72" s="1"/>
  <c r="I56" l="1"/>
  <c r="I57" s="1"/>
  <c r="P143" i="84"/>
  <c r="P144" s="1"/>
  <c r="I58" i="85"/>
  <c r="I59" s="1"/>
  <c r="G140" i="84"/>
  <c r="G141" s="1"/>
  <c r="G56" i="85"/>
  <c r="G57" s="1"/>
  <c r="M142" i="84"/>
  <c r="M143" s="1"/>
  <c r="M144" s="1"/>
  <c r="N143"/>
  <c r="N144" s="1"/>
  <c r="G58" i="85"/>
  <c r="G59" s="1"/>
  <c r="H56"/>
  <c r="H57" s="1"/>
  <c r="O143" i="84"/>
  <c r="O144" s="1"/>
  <c r="H58" i="85"/>
  <c r="H59" s="1"/>
  <c r="V50"/>
  <c r="V51" s="1"/>
  <c r="T51"/>
  <c r="T54"/>
  <c r="J55"/>
  <c r="A147" i="84"/>
  <c r="E56" i="85"/>
  <c r="E57" s="1"/>
  <c r="K143" i="84"/>
  <c r="K144" s="1"/>
  <c r="E58" i="85"/>
  <c r="E59" s="1"/>
  <c r="C56"/>
  <c r="I143" i="84"/>
  <c r="I144" s="1"/>
  <c r="H142"/>
  <c r="C58" i="85"/>
  <c r="J143" i="84"/>
  <c r="J144" s="1"/>
  <c r="D58" i="85"/>
  <c r="D59" s="1"/>
  <c r="D60" s="1"/>
  <c r="M146" i="84" l="1"/>
  <c r="H146"/>
  <c r="G60" i="85"/>
  <c r="H143" i="84"/>
  <c r="H144" s="1"/>
  <c r="G142"/>
  <c r="G143" s="1"/>
  <c r="G144" s="1"/>
  <c r="C59" i="85"/>
  <c r="V54"/>
  <c r="V55" s="1"/>
  <c r="T55"/>
  <c r="E60"/>
  <c r="J56"/>
  <c r="J57" s="1"/>
  <c r="C57"/>
  <c r="A148" i="84"/>
  <c r="H60" i="85"/>
  <c r="I60"/>
  <c r="H147" i="84" l="1"/>
  <c r="A149"/>
  <c r="M147"/>
  <c r="G146"/>
  <c r="C60" i="85"/>
  <c r="K56"/>
  <c r="K57" s="1"/>
  <c r="K60" s="1"/>
  <c r="L56"/>
  <c r="L57" s="1"/>
  <c r="L60" s="1"/>
  <c r="M56"/>
  <c r="M57" s="1"/>
  <c r="M60" s="1"/>
  <c r="N56"/>
  <c r="N57" s="1"/>
  <c r="N60" s="1"/>
  <c r="O56"/>
  <c r="O57" s="1"/>
  <c r="O60" s="1"/>
  <c r="P56"/>
  <c r="P57" s="1"/>
  <c r="P60" s="1"/>
  <c r="Q56"/>
  <c r="Q57" s="1"/>
  <c r="Q60" s="1"/>
  <c r="R56"/>
  <c r="R57" s="1"/>
  <c r="R60" s="1"/>
  <c r="M148" i="84" l="1"/>
  <c r="H148"/>
  <c r="G147"/>
  <c r="A150"/>
  <c r="K302"/>
  <c r="K305" s="1"/>
  <c r="J302"/>
  <c r="J305" s="1"/>
  <c r="P302"/>
  <c r="P305" s="1"/>
  <c r="M302"/>
  <c r="M305" s="1"/>
  <c r="H300"/>
  <c r="H302" s="1"/>
  <c r="H305" s="1"/>
  <c r="O302"/>
  <c r="O305" s="1"/>
  <c r="L302"/>
  <c r="L305" s="1"/>
  <c r="Q302"/>
  <c r="Q305" s="1"/>
  <c r="N300"/>
  <c r="N302" s="1"/>
  <c r="N305" s="1"/>
  <c r="I302"/>
  <c r="I305" s="1"/>
  <c r="S56" i="85"/>
  <c r="G148" i="84" l="1"/>
  <c r="H149"/>
  <c r="M149"/>
  <c r="I151"/>
  <c r="G62" i="85"/>
  <c r="G63" s="1"/>
  <c r="J151" i="84"/>
  <c r="O151"/>
  <c r="K151"/>
  <c r="A152"/>
  <c r="P151"/>
  <c r="G300"/>
  <c r="G302" s="1"/>
  <c r="G305" s="1"/>
  <c r="T56" i="85"/>
  <c r="S57"/>
  <c r="S60" s="1"/>
  <c r="C10" i="70" l="1"/>
  <c r="F10" s="1"/>
  <c r="F9" s="1"/>
  <c r="F15" s="1"/>
  <c r="E73"/>
  <c r="F73" s="1"/>
  <c r="H73" s="1"/>
  <c r="G149" i="84"/>
  <c r="H150"/>
  <c r="H151" s="1"/>
  <c r="A154"/>
  <c r="F58" i="85"/>
  <c r="L151" i="84"/>
  <c r="N151"/>
  <c r="M150"/>
  <c r="M151" s="1"/>
  <c r="B9" i="70"/>
  <c r="H9" s="1"/>
  <c r="H10"/>
  <c r="C9"/>
  <c r="C15" s="1"/>
  <c r="Y60" i="85"/>
  <c r="T57"/>
  <c r="V56"/>
  <c r="V57" s="1"/>
  <c r="F242" i="64"/>
  <c r="E72" i="70" l="1"/>
  <c r="F72" s="1"/>
  <c r="H72" s="1"/>
  <c r="E74"/>
  <c r="F74" s="1"/>
  <c r="H74" s="1"/>
  <c r="L9" i="85"/>
  <c r="L7"/>
  <c r="L8"/>
  <c r="G150" i="84"/>
  <c r="G151" s="1"/>
  <c r="F59" i="85"/>
  <c r="F60" s="1"/>
  <c r="J58"/>
  <c r="D62"/>
  <c r="D63" s="1"/>
  <c r="D64"/>
  <c r="D65" s="1"/>
  <c r="J153" i="84"/>
  <c r="F62" i="85"/>
  <c r="F63" s="1"/>
  <c r="F64"/>
  <c r="F65" s="1"/>
  <c r="L153" i="84"/>
  <c r="H62" i="85"/>
  <c r="H63" s="1"/>
  <c r="O153" i="84"/>
  <c r="I62" i="85"/>
  <c r="I63" s="1"/>
  <c r="P153" i="84"/>
  <c r="I64" i="85"/>
  <c r="I65" s="1"/>
  <c r="E62"/>
  <c r="E63" s="1"/>
  <c r="E64"/>
  <c r="E65" s="1"/>
  <c r="K153" i="84"/>
  <c r="C62" i="85"/>
  <c r="H152" i="84"/>
  <c r="I153"/>
  <c r="G64" i="85"/>
  <c r="G65" s="1"/>
  <c r="N153" i="84"/>
  <c r="M152"/>
  <c r="M153" s="1"/>
  <c r="B15" i="70"/>
  <c r="C13" i="90"/>
  <c r="E242" i="64" l="1"/>
  <c r="F71" i="70"/>
  <c r="F75" s="1"/>
  <c r="F77" s="1"/>
  <c r="B71"/>
  <c r="B75" s="1"/>
  <c r="B77" s="1"/>
  <c r="E71"/>
  <c r="E75" s="1"/>
  <c r="L13" i="85"/>
  <c r="C239" i="64"/>
  <c r="H239" s="1"/>
  <c r="C127"/>
  <c r="H127" s="1"/>
  <c r="Q7" i="85"/>
  <c r="F9"/>
  <c r="R8"/>
  <c r="H8"/>
  <c r="O250" i="84"/>
  <c r="I9" i="85"/>
  <c r="I7"/>
  <c r="C9"/>
  <c r="C8"/>
  <c r="R7"/>
  <c r="F7"/>
  <c r="Q8"/>
  <c r="O9"/>
  <c r="N8"/>
  <c r="L15"/>
  <c r="I8"/>
  <c r="L10"/>
  <c r="R9"/>
  <c r="Q9"/>
  <c r="H7"/>
  <c r="H9"/>
  <c r="F8"/>
  <c r="C7"/>
  <c r="O7"/>
  <c r="O8"/>
  <c r="N7"/>
  <c r="N9"/>
  <c r="L12"/>
  <c r="L11"/>
  <c r="L16"/>
  <c r="M77" i="84"/>
  <c r="N238"/>
  <c r="M76"/>
  <c r="M78"/>
  <c r="M70"/>
  <c r="N237"/>
  <c r="N235"/>
  <c r="N232"/>
  <c r="N229"/>
  <c r="N236"/>
  <c r="N234"/>
  <c r="N230"/>
  <c r="N231"/>
  <c r="G152"/>
  <c r="G153" s="1"/>
  <c r="H153"/>
  <c r="J62" i="85"/>
  <c r="C63"/>
  <c r="I66"/>
  <c r="I67" s="1"/>
  <c r="I68" s="1"/>
  <c r="P155" i="84"/>
  <c r="P156" s="1"/>
  <c r="G66" i="85"/>
  <c r="G67" s="1"/>
  <c r="G68" s="1"/>
  <c r="N155" i="84"/>
  <c r="N156" s="1"/>
  <c r="M154"/>
  <c r="M155" s="1"/>
  <c r="M156" s="1"/>
  <c r="C64" i="85"/>
  <c r="C66"/>
  <c r="I155" i="84"/>
  <c r="I156" s="1"/>
  <c r="H154"/>
  <c r="F66" i="85"/>
  <c r="F67" s="1"/>
  <c r="F68" s="1"/>
  <c r="L155" i="84"/>
  <c r="L156" s="1"/>
  <c r="H64" i="85"/>
  <c r="H65" s="1"/>
  <c r="H66"/>
  <c r="H67" s="1"/>
  <c r="O155" i="84"/>
  <c r="O156" s="1"/>
  <c r="E66" i="85"/>
  <c r="E67" s="1"/>
  <c r="E68" s="1"/>
  <c r="K155" i="84"/>
  <c r="K156" s="1"/>
  <c r="J155"/>
  <c r="J156" s="1"/>
  <c r="D66" i="85"/>
  <c r="D67" s="1"/>
  <c r="D68" s="1"/>
  <c r="T58"/>
  <c r="J59"/>
  <c r="J60" s="1"/>
  <c r="X60" s="1"/>
  <c r="M75" i="84"/>
  <c r="M74"/>
  <c r="M69"/>
  <c r="M71"/>
  <c r="H15" i="70"/>
  <c r="N239" i="84"/>
  <c r="D242" i="64"/>
  <c r="C241"/>
  <c r="I75" i="70" s="1"/>
  <c r="I18" i="85"/>
  <c r="I19" s="1"/>
  <c r="L6"/>
  <c r="Q6"/>
  <c r="E12" i="72"/>
  <c r="D13" i="90"/>
  <c r="H71" i="70" l="1"/>
  <c r="M47" i="84"/>
  <c r="I15" i="70"/>
  <c r="J15" s="1"/>
  <c r="N246" i="84"/>
  <c r="D226" i="64"/>
  <c r="E77" i="70"/>
  <c r="M53" i="84"/>
  <c r="C37" i="64"/>
  <c r="H37" s="1"/>
  <c r="C172"/>
  <c r="H172" s="1"/>
  <c r="M20" i="84"/>
  <c r="C121" i="64"/>
  <c r="H121" s="1"/>
  <c r="C141"/>
  <c r="H141" s="1"/>
  <c r="M16" i="84"/>
  <c r="H75" i="70"/>
  <c r="M86" i="84"/>
  <c r="E146" i="64"/>
  <c r="J75" i="70"/>
  <c r="M15" i="84"/>
  <c r="N10" i="85"/>
  <c r="M49" i="84"/>
  <c r="C66" i="64"/>
  <c r="H66" s="1"/>
  <c r="C46"/>
  <c r="H46" s="1"/>
  <c r="C142"/>
  <c r="H142" s="1"/>
  <c r="I15" i="85"/>
  <c r="C158" i="64"/>
  <c r="H158" s="1"/>
  <c r="C173"/>
  <c r="H173" s="1"/>
  <c r="M31" i="84"/>
  <c r="C131" i="64"/>
  <c r="H131" s="1"/>
  <c r="M17" i="84"/>
  <c r="C164" i="64"/>
  <c r="H164" s="1"/>
  <c r="C126"/>
  <c r="H126" s="1"/>
  <c r="C143"/>
  <c r="H143" s="1"/>
  <c r="C134"/>
  <c r="H134" s="1"/>
  <c r="C138"/>
  <c r="H138" s="1"/>
  <c r="C129"/>
  <c r="H129" s="1"/>
  <c r="M55" i="84"/>
  <c r="C128" i="64"/>
  <c r="H128" s="1"/>
  <c r="M79" i="84"/>
  <c r="C114" i="64"/>
  <c r="H114" s="1"/>
  <c r="C182"/>
  <c r="H182" s="1"/>
  <c r="C15"/>
  <c r="H15" s="1"/>
  <c r="N214" i="84"/>
  <c r="M26"/>
  <c r="H20"/>
  <c r="N216"/>
  <c r="C28" i="64"/>
  <c r="H28" s="1"/>
  <c r="C137"/>
  <c r="H137" s="1"/>
  <c r="C125"/>
  <c r="H125" s="1"/>
  <c r="N213" i="84"/>
  <c r="C155" i="64"/>
  <c r="H155" s="1"/>
  <c r="C154"/>
  <c r="H154" s="1"/>
  <c r="M13" i="84"/>
  <c r="C190" i="64"/>
  <c r="H190" s="1"/>
  <c r="L250" i="84"/>
  <c r="C130" i="64"/>
  <c r="H130" s="1"/>
  <c r="O15" i="85"/>
  <c r="C187" i="64"/>
  <c r="H187" s="1"/>
  <c r="N13" i="85"/>
  <c r="C113" i="64"/>
  <c r="H113" s="1"/>
  <c r="C135"/>
  <c r="H135" s="1"/>
  <c r="M50" i="84"/>
  <c r="M8"/>
  <c r="M48"/>
  <c r="N240"/>
  <c r="C174" i="64"/>
  <c r="H174" s="1"/>
  <c r="L17" i="85"/>
  <c r="C20" i="64"/>
  <c r="H20" s="1"/>
  <c r="C49"/>
  <c r="H49" s="1"/>
  <c r="C69"/>
  <c r="H69" s="1"/>
  <c r="C68"/>
  <c r="H68" s="1"/>
  <c r="C168"/>
  <c r="H168" s="1"/>
  <c r="M19" i="84"/>
  <c r="C169" i="64"/>
  <c r="H169" s="1"/>
  <c r="C157"/>
  <c r="H157" s="1"/>
  <c r="C167"/>
  <c r="H167" s="1"/>
  <c r="J248" i="84"/>
  <c r="C140" i="64"/>
  <c r="H140" s="1"/>
  <c r="M35" i="84"/>
  <c r="M250"/>
  <c r="N16" i="85"/>
  <c r="Q11"/>
  <c r="J241" i="84"/>
  <c r="R12" i="85"/>
  <c r="R10"/>
  <c r="R11"/>
  <c r="C171" i="64"/>
  <c r="H171" s="1"/>
  <c r="C145"/>
  <c r="H145" s="1"/>
  <c r="C175"/>
  <c r="H175" s="1"/>
  <c r="M85" i="84"/>
  <c r="O12" i="85"/>
  <c r="N12"/>
  <c r="C183" i="64"/>
  <c r="H183" s="1"/>
  <c r="O11" i="85"/>
  <c r="Q12"/>
  <c r="C191" i="64"/>
  <c r="H191" s="1"/>
  <c r="C136"/>
  <c r="H136" s="1"/>
  <c r="C156"/>
  <c r="H156" s="1"/>
  <c r="Q10" i="85"/>
  <c r="H11"/>
  <c r="I11"/>
  <c r="C162" i="64"/>
  <c r="H162" s="1"/>
  <c r="C163"/>
  <c r="H163" s="1"/>
  <c r="H10" i="85"/>
  <c r="N11"/>
  <c r="N171" i="84"/>
  <c r="M32"/>
  <c r="N15" i="85"/>
  <c r="N177" i="84"/>
  <c r="M11"/>
  <c r="N199"/>
  <c r="N191"/>
  <c r="N208"/>
  <c r="N211"/>
  <c r="N206"/>
  <c r="N202"/>
  <c r="M56"/>
  <c r="N205"/>
  <c r="N183"/>
  <c r="N204"/>
  <c r="M40"/>
  <c r="N207"/>
  <c r="M36"/>
  <c r="M61"/>
  <c r="N223"/>
  <c r="N185"/>
  <c r="N217"/>
  <c r="M64"/>
  <c r="M28"/>
  <c r="N200"/>
  <c r="M23"/>
  <c r="M67"/>
  <c r="M29"/>
  <c r="M54"/>
  <c r="M62"/>
  <c r="M25"/>
  <c r="N184"/>
  <c r="O6" i="85"/>
  <c r="C186" i="64"/>
  <c r="H186" s="1"/>
  <c r="N175" i="84"/>
  <c r="I10" i="85"/>
  <c r="F10"/>
  <c r="N178" i="84"/>
  <c r="M45"/>
  <c r="N193"/>
  <c r="M52"/>
  <c r="M46"/>
  <c r="M66"/>
  <c r="N198"/>
  <c r="M60"/>
  <c r="N227"/>
  <c r="M41"/>
  <c r="N197"/>
  <c r="N170"/>
  <c r="M39"/>
  <c r="N190"/>
  <c r="Q15" i="85"/>
  <c r="M10" i="84"/>
  <c r="M38"/>
  <c r="M59"/>
  <c r="M57"/>
  <c r="N215"/>
  <c r="R15" i="85"/>
  <c r="N180" i="84"/>
  <c r="M83"/>
  <c r="N226"/>
  <c r="N218"/>
  <c r="M44"/>
  <c r="O13" i="85"/>
  <c r="M14" i="84"/>
  <c r="M22"/>
  <c r="E8" i="85"/>
  <c r="N176" i="84"/>
  <c r="N192"/>
  <c r="N174"/>
  <c r="N210"/>
  <c r="M65"/>
  <c r="N201"/>
  <c r="M24"/>
  <c r="M58"/>
  <c r="M9" i="85"/>
  <c r="P241" i="84"/>
  <c r="F15" i="85"/>
  <c r="J250" i="84"/>
  <c r="L18" i="85"/>
  <c r="L19" s="1"/>
  <c r="N225" i="84"/>
  <c r="N209"/>
  <c r="N186"/>
  <c r="N172"/>
  <c r="N219"/>
  <c r="N203"/>
  <c r="E9" i="85"/>
  <c r="E7"/>
  <c r="M8"/>
  <c r="N179" i="84"/>
  <c r="N181"/>
  <c r="M43"/>
  <c r="O10" i="85"/>
  <c r="N212" i="84"/>
  <c r="N220"/>
  <c r="N222"/>
  <c r="M7" i="85"/>
  <c r="N189" i="84"/>
  <c r="M18"/>
  <c r="N196"/>
  <c r="N224"/>
  <c r="M37"/>
  <c r="M42"/>
  <c r="N228"/>
  <c r="M9"/>
  <c r="N221"/>
  <c r="C10" i="85"/>
  <c r="M84" i="84"/>
  <c r="N245"/>
  <c r="Q16" i="85"/>
  <c r="H77" i="84"/>
  <c r="G77" s="1"/>
  <c r="L14" i="85"/>
  <c r="C12"/>
  <c r="I12"/>
  <c r="F12"/>
  <c r="H12"/>
  <c r="H237" i="84"/>
  <c r="G237" s="1"/>
  <c r="H75"/>
  <c r="G75" s="1"/>
  <c r="C13" i="85"/>
  <c r="H238" i="84"/>
  <c r="G238" s="1"/>
  <c r="H71"/>
  <c r="G71" s="1"/>
  <c r="H76"/>
  <c r="G76" s="1"/>
  <c r="H236"/>
  <c r="G236" s="1"/>
  <c r="H232"/>
  <c r="G232" s="1"/>
  <c r="H233"/>
  <c r="H69"/>
  <c r="G69" s="1"/>
  <c r="H229"/>
  <c r="G229" s="1"/>
  <c r="H68"/>
  <c r="H230"/>
  <c r="G230" s="1"/>
  <c r="H231"/>
  <c r="G231" s="1"/>
  <c r="H78"/>
  <c r="G78" s="1"/>
  <c r="H72"/>
  <c r="H235"/>
  <c r="G235" s="1"/>
  <c r="H70"/>
  <c r="G70" s="1"/>
  <c r="H234"/>
  <c r="G234" s="1"/>
  <c r="H68" i="85"/>
  <c r="M63" i="84"/>
  <c r="N233"/>
  <c r="T59" i="85"/>
  <c r="T60" s="1"/>
  <c r="V58"/>
  <c r="V59" s="1"/>
  <c r="V60" s="1"/>
  <c r="H155" i="84"/>
  <c r="H156" s="1"/>
  <c r="G154"/>
  <c r="G155" s="1"/>
  <c r="G156" s="1"/>
  <c r="J66" i="85"/>
  <c r="C67"/>
  <c r="J64"/>
  <c r="C65"/>
  <c r="J63"/>
  <c r="T62"/>
  <c r="H74" i="84"/>
  <c r="G74" s="1"/>
  <c r="M72"/>
  <c r="M68"/>
  <c r="M73"/>
  <c r="H73"/>
  <c r="M30"/>
  <c r="N247"/>
  <c r="F11" i="85"/>
  <c r="F13"/>
  <c r="C11"/>
  <c r="I13"/>
  <c r="M51" i="84"/>
  <c r="H239"/>
  <c r="G239" s="1"/>
  <c r="H16" i="85"/>
  <c r="F16"/>
  <c r="O16"/>
  <c r="R13"/>
  <c r="I16"/>
  <c r="C242" i="64"/>
  <c r="H242" s="1"/>
  <c r="H241"/>
  <c r="C29"/>
  <c r="H29" s="1"/>
  <c r="P18" i="85"/>
  <c r="P19" s="1"/>
  <c r="H18"/>
  <c r="H19" s="1"/>
  <c r="P89" i="84"/>
  <c r="N89"/>
  <c r="C79" i="64"/>
  <c r="H79" s="1"/>
  <c r="R6" i="85"/>
  <c r="Q241" i="84"/>
  <c r="L89"/>
  <c r="F18" i="85"/>
  <c r="F19" s="1"/>
  <c r="F12" i="72"/>
  <c r="E13" i="90"/>
  <c r="C61" i="64"/>
  <c r="H61" s="1"/>
  <c r="C53"/>
  <c r="H53" s="1"/>
  <c r="F51"/>
  <c r="C47"/>
  <c r="H47" s="1"/>
  <c r="E226"/>
  <c r="D146"/>
  <c r="C43"/>
  <c r="H43" s="1"/>
  <c r="F226"/>
  <c r="C19"/>
  <c r="H19" s="1"/>
  <c r="C38"/>
  <c r="H38" s="1"/>
  <c r="C56"/>
  <c r="H56" s="1"/>
  <c r="C67"/>
  <c r="H67" s="1"/>
  <c r="C62"/>
  <c r="H62" s="1"/>
  <c r="C23"/>
  <c r="H23" s="1"/>
  <c r="C42"/>
  <c r="H42" s="1"/>
  <c r="F146"/>
  <c r="N6" i="85"/>
  <c r="L241" i="84"/>
  <c r="C144" i="64"/>
  <c r="H144" s="1"/>
  <c r="H6" i="85"/>
  <c r="C34" i="64"/>
  <c r="H34" s="1"/>
  <c r="I6" i="85"/>
  <c r="P80" i="84"/>
  <c r="C16" i="64"/>
  <c r="H16" s="1"/>
  <c r="F6" i="85"/>
  <c r="L80" i="84"/>
  <c r="C48" i="64"/>
  <c r="H48" s="1"/>
  <c r="H77" i="70"/>
  <c r="C185" i="64" l="1"/>
  <c r="H185" s="1"/>
  <c r="K18" i="85"/>
  <c r="C148" i="64"/>
  <c r="C146" s="1"/>
  <c r="H146" s="1"/>
  <c r="C119"/>
  <c r="H119" s="1"/>
  <c r="M241" i="84"/>
  <c r="C188" i="64"/>
  <c r="H188" s="1"/>
  <c r="G20" i="84"/>
  <c r="N18" i="85"/>
  <c r="N19" s="1"/>
  <c r="L248" i="84"/>
  <c r="L251" s="1"/>
  <c r="M15" i="85"/>
  <c r="O80" i="84"/>
  <c r="N14" i="85"/>
  <c r="C30" i="64"/>
  <c r="H30" s="1"/>
  <c r="P248" i="84"/>
  <c r="E18" i="85"/>
  <c r="E19" s="1"/>
  <c r="C122" i="64"/>
  <c r="H122" s="1"/>
  <c r="C189"/>
  <c r="H189" s="1"/>
  <c r="Q17" i="85"/>
  <c r="C120" i="64"/>
  <c r="H120" s="1"/>
  <c r="C181"/>
  <c r="H181" s="1"/>
  <c r="N17" i="85"/>
  <c r="N249" i="84"/>
  <c r="N250" s="1"/>
  <c r="O14" i="85"/>
  <c r="H63" i="84"/>
  <c r="G63" s="1"/>
  <c r="H15" i="85"/>
  <c r="H17" s="1"/>
  <c r="O18"/>
  <c r="O19" s="1"/>
  <c r="H245" i="84"/>
  <c r="G245" s="1"/>
  <c r="H13" i="85"/>
  <c r="H14" s="1"/>
  <c r="L20"/>
  <c r="H15" i="84"/>
  <c r="G15" s="1"/>
  <c r="J251"/>
  <c r="J89"/>
  <c r="H19"/>
  <c r="G19" s="1"/>
  <c r="C15" i="85"/>
  <c r="M10"/>
  <c r="H86" i="84"/>
  <c r="G86" s="1"/>
  <c r="C18" i="85"/>
  <c r="H83" i="84"/>
  <c r="G83" s="1"/>
  <c r="H244"/>
  <c r="P12" i="85"/>
  <c r="G13"/>
  <c r="M13"/>
  <c r="M11"/>
  <c r="E10"/>
  <c r="H175" i="84"/>
  <c r="G175" s="1"/>
  <c r="H227"/>
  <c r="G227" s="1"/>
  <c r="H215"/>
  <c r="G215" s="1"/>
  <c r="H247"/>
  <c r="G247" s="1"/>
  <c r="H50"/>
  <c r="G50" s="1"/>
  <c r="H240"/>
  <c r="G240" s="1"/>
  <c r="H57"/>
  <c r="G57" s="1"/>
  <c r="H216"/>
  <c r="G216" s="1"/>
  <c r="H48"/>
  <c r="G48" s="1"/>
  <c r="H64"/>
  <c r="G64" s="1"/>
  <c r="H62"/>
  <c r="G62" s="1"/>
  <c r="G7" i="85"/>
  <c r="M12" i="84"/>
  <c r="H44"/>
  <c r="G44" s="1"/>
  <c r="P13" i="85"/>
  <c r="N169" i="84"/>
  <c r="H9"/>
  <c r="G9" s="1"/>
  <c r="P9" i="85"/>
  <c r="N195" i="84"/>
  <c r="H183"/>
  <c r="G183" s="1"/>
  <c r="H214"/>
  <c r="G214" s="1"/>
  <c r="H199"/>
  <c r="G199" s="1"/>
  <c r="H177"/>
  <c r="G177" s="1"/>
  <c r="P7" i="85"/>
  <c r="N173" i="84"/>
  <c r="H228"/>
  <c r="G228" s="1"/>
  <c r="H178"/>
  <c r="G178" s="1"/>
  <c r="H23"/>
  <c r="G23" s="1"/>
  <c r="H196"/>
  <c r="G196" s="1"/>
  <c r="H30"/>
  <c r="G30" s="1"/>
  <c r="H202"/>
  <c r="G202" s="1"/>
  <c r="C55" i="64"/>
  <c r="H55" s="1"/>
  <c r="H45" i="84"/>
  <c r="G45" s="1"/>
  <c r="H41"/>
  <c r="G41" s="1"/>
  <c r="H36"/>
  <c r="G36" s="1"/>
  <c r="H206"/>
  <c r="G206" s="1"/>
  <c r="H28"/>
  <c r="G28" s="1"/>
  <c r="H37"/>
  <c r="G37" s="1"/>
  <c r="C17" i="64"/>
  <c r="H17" s="1"/>
  <c r="H180" i="84"/>
  <c r="G180" s="1"/>
  <c r="H40"/>
  <c r="G40" s="1"/>
  <c r="N187"/>
  <c r="Q13" i="85"/>
  <c r="Q14" s="1"/>
  <c r="H46" i="84"/>
  <c r="G46" s="1"/>
  <c r="H84"/>
  <c r="G84" s="1"/>
  <c r="H49"/>
  <c r="G49" s="1"/>
  <c r="C84" i="64"/>
  <c r="H84" s="1"/>
  <c r="H171" i="84"/>
  <c r="G171" s="1"/>
  <c r="H51"/>
  <c r="G51" s="1"/>
  <c r="C36" i="64"/>
  <c r="H36" s="1"/>
  <c r="H220" i="84"/>
  <c r="G220" s="1"/>
  <c r="H35"/>
  <c r="G35" s="1"/>
  <c r="H200"/>
  <c r="G200" s="1"/>
  <c r="C54" i="64"/>
  <c r="H54" s="1"/>
  <c r="H246" i="84"/>
  <c r="G246" s="1"/>
  <c r="H17"/>
  <c r="G17" s="1"/>
  <c r="H198"/>
  <c r="G198" s="1"/>
  <c r="H223"/>
  <c r="G223" s="1"/>
  <c r="N188"/>
  <c r="P10" i="85"/>
  <c r="H61" i="84"/>
  <c r="G61" s="1"/>
  <c r="H26"/>
  <c r="G26" s="1"/>
  <c r="C22" i="64"/>
  <c r="H22" s="1"/>
  <c r="H18" i="84"/>
  <c r="G18" s="1"/>
  <c r="H53"/>
  <c r="G53" s="1"/>
  <c r="M27"/>
  <c r="G10" i="85"/>
  <c r="H203" i="84"/>
  <c r="G203" s="1"/>
  <c r="H43"/>
  <c r="G43" s="1"/>
  <c r="H24"/>
  <c r="G24" s="1"/>
  <c r="G12" i="85"/>
  <c r="H226" i="84"/>
  <c r="G226" s="1"/>
  <c r="H207"/>
  <c r="G207" s="1"/>
  <c r="Q250"/>
  <c r="R18" i="85"/>
  <c r="R19" s="1"/>
  <c r="P250" i="84"/>
  <c r="Q18" i="85"/>
  <c r="Q19" s="1"/>
  <c r="H217" i="84"/>
  <c r="G217" s="1"/>
  <c r="H191"/>
  <c r="G191" s="1"/>
  <c r="H205"/>
  <c r="G205" s="1"/>
  <c r="H190"/>
  <c r="G190" s="1"/>
  <c r="H197"/>
  <c r="G197" s="1"/>
  <c r="H174"/>
  <c r="G174" s="1"/>
  <c r="H192"/>
  <c r="G192" s="1"/>
  <c r="H13"/>
  <c r="G13" s="1"/>
  <c r="C21" i="64"/>
  <c r="H21" s="1"/>
  <c r="H225" i="84"/>
  <c r="G225" s="1"/>
  <c r="H219"/>
  <c r="G219" s="1"/>
  <c r="H218"/>
  <c r="G218" s="1"/>
  <c r="H210"/>
  <c r="G210" s="1"/>
  <c r="H14"/>
  <c r="G14" s="1"/>
  <c r="H55"/>
  <c r="G55" s="1"/>
  <c r="H67"/>
  <c r="G67" s="1"/>
  <c r="H85"/>
  <c r="G85" s="1"/>
  <c r="H211"/>
  <c r="G211" s="1"/>
  <c r="H176"/>
  <c r="G176" s="1"/>
  <c r="H25"/>
  <c r="G25" s="1"/>
  <c r="H189"/>
  <c r="G189" s="1"/>
  <c r="H39"/>
  <c r="G39" s="1"/>
  <c r="H52"/>
  <c r="G52" s="1"/>
  <c r="H193"/>
  <c r="G193" s="1"/>
  <c r="H187"/>
  <c r="P8" i="85"/>
  <c r="N194" i="84"/>
  <c r="E15" i="85"/>
  <c r="H56" i="84"/>
  <c r="G56" s="1"/>
  <c r="C18" i="64"/>
  <c r="H18" s="1"/>
  <c r="H201" i="84"/>
  <c r="G201" s="1"/>
  <c r="H31"/>
  <c r="G31" s="1"/>
  <c r="H184"/>
  <c r="G184" s="1"/>
  <c r="C85" i="64"/>
  <c r="H85" s="1"/>
  <c r="C27"/>
  <c r="H27" s="1"/>
  <c r="H66" i="84"/>
  <c r="G66" s="1"/>
  <c r="H221"/>
  <c r="G221" s="1"/>
  <c r="H204"/>
  <c r="G204" s="1"/>
  <c r="H208"/>
  <c r="G208" s="1"/>
  <c r="G9" i="85"/>
  <c r="M34" i="84"/>
  <c r="C81" i="64"/>
  <c r="H81" s="1"/>
  <c r="H179" i="84"/>
  <c r="G179" s="1"/>
  <c r="H60"/>
  <c r="G60" s="1"/>
  <c r="H79"/>
  <c r="G79" s="1"/>
  <c r="H16"/>
  <c r="G16" s="1"/>
  <c r="H213"/>
  <c r="G213" s="1"/>
  <c r="H224"/>
  <c r="G224" s="1"/>
  <c r="H209"/>
  <c r="G209" s="1"/>
  <c r="C80" i="64"/>
  <c r="H80" s="1"/>
  <c r="C35"/>
  <c r="H35" s="1"/>
  <c r="H54" i="84"/>
  <c r="G54" s="1"/>
  <c r="H10"/>
  <c r="G10" s="1"/>
  <c r="H42"/>
  <c r="G42" s="1"/>
  <c r="G11" i="85"/>
  <c r="M21" i="84"/>
  <c r="H32"/>
  <c r="G32" s="1"/>
  <c r="H65"/>
  <c r="G65" s="1"/>
  <c r="H22"/>
  <c r="G22" s="1"/>
  <c r="H186"/>
  <c r="G186" s="1"/>
  <c r="C77" i="64"/>
  <c r="H77" s="1"/>
  <c r="C39"/>
  <c r="H39" s="1"/>
  <c r="H29" i="84"/>
  <c r="G29" s="1"/>
  <c r="H59"/>
  <c r="G59" s="1"/>
  <c r="M33"/>
  <c r="G8" i="85"/>
  <c r="H172" i="84"/>
  <c r="G172" s="1"/>
  <c r="H222"/>
  <c r="G222" s="1"/>
  <c r="C78" i="64"/>
  <c r="H78" s="1"/>
  <c r="C31"/>
  <c r="H31" s="1"/>
  <c r="H181" i="84"/>
  <c r="G181" s="1"/>
  <c r="H212"/>
  <c r="G212" s="1"/>
  <c r="H47"/>
  <c r="G47" s="1"/>
  <c r="N182"/>
  <c r="P11" i="85"/>
  <c r="C63" i="64"/>
  <c r="H63" s="1"/>
  <c r="H185" i="84"/>
  <c r="G185" s="1"/>
  <c r="F58" i="64"/>
  <c r="M12" i="85"/>
  <c r="G233" i="84"/>
  <c r="G68"/>
  <c r="G72"/>
  <c r="G73"/>
  <c r="C68" i="85"/>
  <c r="T63"/>
  <c r="V62"/>
  <c r="V63" s="1"/>
  <c r="T64"/>
  <c r="J65"/>
  <c r="J67"/>
  <c r="T66"/>
  <c r="O17"/>
  <c r="R14"/>
  <c r="F14"/>
  <c r="P87" i="84"/>
  <c r="P90" s="1"/>
  <c r="F17" i="85"/>
  <c r="L87" i="84"/>
  <c r="L90" s="1"/>
  <c r="I14" i="85"/>
  <c r="I17"/>
  <c r="M248" i="84"/>
  <c r="C41" i="64"/>
  <c r="H41" s="1"/>
  <c r="O89" i="84"/>
  <c r="G18" i="85"/>
  <c r="G19" s="1"/>
  <c r="M88" i="84"/>
  <c r="M89" s="1"/>
  <c r="D132" i="64"/>
  <c r="D51"/>
  <c r="D165"/>
  <c r="C166"/>
  <c r="F44"/>
  <c r="F132"/>
  <c r="D58"/>
  <c r="F165"/>
  <c r="C226"/>
  <c r="H226" s="1"/>
  <c r="F123"/>
  <c r="E159"/>
  <c r="P6" i="85"/>
  <c r="N168" i="84"/>
  <c r="O241"/>
  <c r="G6" i="85"/>
  <c r="M7" i="84"/>
  <c r="N80"/>
  <c r="C152" i="64"/>
  <c r="D150"/>
  <c r="D159"/>
  <c r="C161"/>
  <c r="D44"/>
  <c r="D6" i="85"/>
  <c r="C13" i="64"/>
  <c r="D12"/>
  <c r="D11" s="1"/>
  <c r="D123"/>
  <c r="C124"/>
  <c r="G12" i="72"/>
  <c r="H12" s="1"/>
  <c r="I12" s="1"/>
  <c r="F13" i="90"/>
  <c r="E123" i="64"/>
  <c r="E132"/>
  <c r="C33"/>
  <c r="D32"/>
  <c r="E6" i="85"/>
  <c r="M6"/>
  <c r="K241" i="84"/>
  <c r="E64" i="64"/>
  <c r="F159"/>
  <c r="C133"/>
  <c r="E150"/>
  <c r="C65"/>
  <c r="D64"/>
  <c r="F64"/>
  <c r="E165"/>
  <c r="C6" i="85"/>
  <c r="I80" i="84"/>
  <c r="H7"/>
  <c r="C153" i="64"/>
  <c r="H153" s="1"/>
  <c r="F150"/>
  <c r="M251" i="84" l="1"/>
  <c r="P251"/>
  <c r="H148" i="64"/>
  <c r="K89" i="84"/>
  <c r="C16" i="85"/>
  <c r="C17" s="1"/>
  <c r="D116" i="64"/>
  <c r="O87" i="84"/>
  <c r="N20" i="85"/>
  <c r="I89" i="84"/>
  <c r="E16" i="85"/>
  <c r="E17" s="1"/>
  <c r="O20"/>
  <c r="M16"/>
  <c r="M17" s="1"/>
  <c r="D18"/>
  <c r="D19" s="1"/>
  <c r="H88" i="84"/>
  <c r="G88" s="1"/>
  <c r="G89" s="1"/>
  <c r="K248"/>
  <c r="Q20" i="85"/>
  <c r="C59" i="64"/>
  <c r="H59" s="1"/>
  <c r="M18" i="85"/>
  <c r="M19" s="1"/>
  <c r="K250" i="84"/>
  <c r="D15" i="85"/>
  <c r="N241" i="84"/>
  <c r="F73" i="64"/>
  <c r="F72" s="1"/>
  <c r="F71" s="1"/>
  <c r="F101" s="1"/>
  <c r="P14" i="85"/>
  <c r="D12"/>
  <c r="G187" i="84"/>
  <c r="C75" i="64"/>
  <c r="H75" s="1"/>
  <c r="H195" i="84"/>
  <c r="G195" s="1"/>
  <c r="K9" i="85"/>
  <c r="S9" s="1"/>
  <c r="H170" i="84"/>
  <c r="G170" s="1"/>
  <c r="K12" i="85"/>
  <c r="S12" s="1"/>
  <c r="C82" i="64"/>
  <c r="H82" s="1"/>
  <c r="K8" i="85"/>
  <c r="S8" s="1"/>
  <c r="H194" i="84"/>
  <c r="G194" s="1"/>
  <c r="E12" i="85"/>
  <c r="J12" s="1"/>
  <c r="H38" i="84"/>
  <c r="G38" s="1"/>
  <c r="F12" i="64"/>
  <c r="F11" s="1"/>
  <c r="K10" i="85"/>
  <c r="S10" s="1"/>
  <c r="H188" i="84"/>
  <c r="G188" s="1"/>
  <c r="H27"/>
  <c r="G27" s="1"/>
  <c r="D10" i="85"/>
  <c r="J10" s="1"/>
  <c r="H21" i="84"/>
  <c r="G21" s="1"/>
  <c r="D11" i="85"/>
  <c r="O248" i="84"/>
  <c r="O251" s="1"/>
  <c r="P15" i="85"/>
  <c r="N242" i="84"/>
  <c r="H34"/>
  <c r="G34" s="1"/>
  <c r="D9" i="85"/>
  <c r="J9" s="1"/>
  <c r="H58" i="84"/>
  <c r="G58" s="1"/>
  <c r="E11" i="85"/>
  <c r="H33" i="84"/>
  <c r="G33" s="1"/>
  <c r="D8" i="85"/>
  <c r="J8" s="1"/>
  <c r="D7"/>
  <c r="J7" s="1"/>
  <c r="H12" i="84"/>
  <c r="G12" s="1"/>
  <c r="H8"/>
  <c r="G8" s="1"/>
  <c r="D13" i="85"/>
  <c r="H11" i="84"/>
  <c r="G11" s="1"/>
  <c r="E13" i="85"/>
  <c r="C83" i="64"/>
  <c r="H83" s="1"/>
  <c r="K13" i="85"/>
  <c r="S13" s="1"/>
  <c r="H169" i="84"/>
  <c r="G169" s="1"/>
  <c r="H182"/>
  <c r="G182" s="1"/>
  <c r="K11" i="85"/>
  <c r="S11" s="1"/>
  <c r="N244" i="84"/>
  <c r="G244" s="1"/>
  <c r="Q248"/>
  <c r="Q251" s="1"/>
  <c r="R16" i="85"/>
  <c r="R17" s="1"/>
  <c r="R20" s="1"/>
  <c r="K80" i="84"/>
  <c r="J80"/>
  <c r="G14" i="85"/>
  <c r="H173" i="84"/>
  <c r="G173" s="1"/>
  <c r="K7" i="85"/>
  <c r="S7" s="1"/>
  <c r="N243" i="84"/>
  <c r="P16" i="85"/>
  <c r="M80" i="84"/>
  <c r="H20" i="85"/>
  <c r="M14"/>
  <c r="J68"/>
  <c r="X68" s="1"/>
  <c r="T67"/>
  <c r="V66"/>
  <c r="V67" s="1"/>
  <c r="V64"/>
  <c r="V65" s="1"/>
  <c r="T65"/>
  <c r="I250" i="84"/>
  <c r="H249"/>
  <c r="H250" s="1"/>
  <c r="K87"/>
  <c r="O90"/>
  <c r="H81"/>
  <c r="F20" i="85"/>
  <c r="I20"/>
  <c r="J87" i="84"/>
  <c r="D16" i="85"/>
  <c r="F32" i="64"/>
  <c r="D50"/>
  <c r="F50"/>
  <c r="E149"/>
  <c r="D149"/>
  <c r="C64"/>
  <c r="H64" s="1"/>
  <c r="H65"/>
  <c r="F223"/>
  <c r="C14" i="85"/>
  <c r="J6"/>
  <c r="E110" i="64"/>
  <c r="D73"/>
  <c r="D72" s="1"/>
  <c r="D71" s="1"/>
  <c r="D101" s="1"/>
  <c r="D223"/>
  <c r="D110"/>
  <c r="C112"/>
  <c r="C180"/>
  <c r="C165"/>
  <c r="H165" s="1"/>
  <c r="H166"/>
  <c r="F116"/>
  <c r="C26"/>
  <c r="D25"/>
  <c r="D10" s="1"/>
  <c r="G7" i="84"/>
  <c r="E116" i="64"/>
  <c r="E25"/>
  <c r="F110"/>
  <c r="H33"/>
  <c r="J12" i="72"/>
  <c r="K12" s="1"/>
  <c r="L12" s="1"/>
  <c r="M12" s="1"/>
  <c r="N12" s="1"/>
  <c r="O12" s="1"/>
  <c r="P12" s="1"/>
  <c r="Q12" s="1"/>
  <c r="R12" s="1"/>
  <c r="S12" s="1"/>
  <c r="T12" s="1"/>
  <c r="U12" s="1"/>
  <c r="H13" i="64"/>
  <c r="C19" i="85"/>
  <c r="C159" i="64"/>
  <c r="H159" s="1"/>
  <c r="H161"/>
  <c r="F25"/>
  <c r="D224"/>
  <c r="F149"/>
  <c r="H133"/>
  <c r="C132"/>
  <c r="H132" s="1"/>
  <c r="C123"/>
  <c r="H123" s="1"/>
  <c r="H124"/>
  <c r="H168" i="84"/>
  <c r="I241"/>
  <c r="K6" i="85"/>
  <c r="K19"/>
  <c r="C150" i="64"/>
  <c r="H152"/>
  <c r="C118" l="1"/>
  <c r="C116" s="1"/>
  <c r="H116" s="1"/>
  <c r="H82" i="84"/>
  <c r="H87" s="1"/>
  <c r="S18" i="85"/>
  <c r="S19" s="1"/>
  <c r="I87" i="84"/>
  <c r="I90" s="1"/>
  <c r="F224" i="64"/>
  <c r="F222" s="1"/>
  <c r="K251" i="84"/>
  <c r="T12" i="85"/>
  <c r="V12" s="1"/>
  <c r="J18"/>
  <c r="J19" s="1"/>
  <c r="H89" i="84"/>
  <c r="K90"/>
  <c r="D14" i="85"/>
  <c r="G80" i="84"/>
  <c r="E14" i="85"/>
  <c r="E20" s="1"/>
  <c r="T7"/>
  <c r="V7" s="1"/>
  <c r="J11"/>
  <c r="T11" s="1"/>
  <c r="V11" s="1"/>
  <c r="C60" i="64"/>
  <c r="E58"/>
  <c r="E44"/>
  <c r="C45"/>
  <c r="T8" i="85"/>
  <c r="V8" s="1"/>
  <c r="H242" i="84"/>
  <c r="I248"/>
  <c r="I251" s="1"/>
  <c r="K15" i="85"/>
  <c r="C14" i="64"/>
  <c r="E12"/>
  <c r="E11" s="1"/>
  <c r="N87" i="84"/>
  <c r="N90" s="1"/>
  <c r="M81"/>
  <c r="G15" i="85"/>
  <c r="C52" i="64"/>
  <c r="E51"/>
  <c r="K16" i="85"/>
  <c r="S16" s="1"/>
  <c r="H243" i="84"/>
  <c r="G243" s="1"/>
  <c r="N248"/>
  <c r="N251" s="1"/>
  <c r="H80"/>
  <c r="J90"/>
  <c r="T9" i="85"/>
  <c r="V9" s="1"/>
  <c r="G16"/>
  <c r="J16" s="1"/>
  <c r="M82" i="84"/>
  <c r="J13" i="85"/>
  <c r="T13" s="1"/>
  <c r="V13" s="1"/>
  <c r="P17"/>
  <c r="P20" s="1"/>
  <c r="T10"/>
  <c r="V10" s="1"/>
  <c r="M20"/>
  <c r="G249" i="84"/>
  <c r="G250" s="1"/>
  <c r="V68" i="85"/>
  <c r="T68"/>
  <c r="F10" i="64"/>
  <c r="F70" s="1"/>
  <c r="F102" s="1"/>
  <c r="D17" i="85"/>
  <c r="D215" i="64"/>
  <c r="F215"/>
  <c r="E109"/>
  <c r="E176" s="1"/>
  <c r="C20" i="85"/>
  <c r="F109" i="64"/>
  <c r="F176" s="1"/>
  <c r="V12" i="72"/>
  <c r="D222" i="64"/>
  <c r="D70"/>
  <c r="D102" s="1"/>
  <c r="C149"/>
  <c r="H149" s="1"/>
  <c r="H150"/>
  <c r="H241" i="84"/>
  <c r="G168"/>
  <c r="G241" s="1"/>
  <c r="K14" i="85"/>
  <c r="S6"/>
  <c r="D109" i="64"/>
  <c r="D176" s="1"/>
  <c r="H26"/>
  <c r="C25"/>
  <c r="H25" s="1"/>
  <c r="H180"/>
  <c r="C110"/>
  <c r="H112"/>
  <c r="E50" l="1"/>
  <c r="E215" s="1"/>
  <c r="H118"/>
  <c r="G82" i="84"/>
  <c r="T18" i="85"/>
  <c r="T19" s="1"/>
  <c r="D20"/>
  <c r="T16"/>
  <c r="V16" s="1"/>
  <c r="M87" i="84"/>
  <c r="M90" s="1"/>
  <c r="K17" i="85"/>
  <c r="K20" s="1"/>
  <c r="S15"/>
  <c r="H60" i="64"/>
  <c r="C58"/>
  <c r="H58" s="1"/>
  <c r="G17" i="85"/>
  <c r="G20" s="1"/>
  <c r="J15"/>
  <c r="J17" s="1"/>
  <c r="H14" i="64"/>
  <c r="C12"/>
  <c r="C40"/>
  <c r="E32"/>
  <c r="E10" s="1"/>
  <c r="E70" s="1"/>
  <c r="H90" i="84"/>
  <c r="J14" i="85"/>
  <c r="H52" i="64"/>
  <c r="C51"/>
  <c r="C76"/>
  <c r="E223"/>
  <c r="H248" i="84"/>
  <c r="H251" s="1"/>
  <c r="G242"/>
  <c r="G248" s="1"/>
  <c r="G251" s="1"/>
  <c r="C44" i="64"/>
  <c r="H44" s="1"/>
  <c r="H45"/>
  <c r="C74"/>
  <c r="E73"/>
  <c r="E72" s="1"/>
  <c r="E71" s="1"/>
  <c r="E101" s="1"/>
  <c r="E224"/>
  <c r="G81" i="84"/>
  <c r="F214" i="64"/>
  <c r="F213" s="1"/>
  <c r="D214"/>
  <c r="D213" s="1"/>
  <c r="H110"/>
  <c r="C109"/>
  <c r="S14" i="85"/>
  <c r="T6"/>
  <c r="G87" i="84" l="1"/>
  <c r="G90" s="1"/>
  <c r="V18" i="85"/>
  <c r="V19" s="1"/>
  <c r="E214" i="64"/>
  <c r="E213" s="1"/>
  <c r="H51"/>
  <c r="C50"/>
  <c r="C11"/>
  <c r="H12"/>
  <c r="T15" i="85"/>
  <c r="S17"/>
  <c r="S20" s="1"/>
  <c r="Y20" s="1"/>
  <c r="C73" i="64"/>
  <c r="C224"/>
  <c r="H224" s="1"/>
  <c r="H74"/>
  <c r="H76"/>
  <c r="C223"/>
  <c r="H40"/>
  <c r="C32"/>
  <c r="H32" s="1"/>
  <c r="E222"/>
  <c r="E102"/>
  <c r="J20" i="85"/>
  <c r="V6"/>
  <c r="V14" s="1"/>
  <c r="T14"/>
  <c r="H109" i="64"/>
  <c r="C176"/>
  <c r="X20" i="85" l="1"/>
  <c r="T17"/>
  <c r="T20" s="1"/>
  <c r="V15"/>
  <c r="V17" s="1"/>
  <c r="V20" s="1"/>
  <c r="C215" i="64"/>
  <c r="H215" s="1"/>
  <c r="H50"/>
  <c r="C222"/>
  <c r="H222" s="1"/>
  <c r="H223"/>
  <c r="H73"/>
  <c r="C72"/>
  <c r="H11"/>
  <c r="C10"/>
  <c r="H176"/>
  <c r="C71" l="1"/>
  <c r="H72"/>
  <c r="C70"/>
  <c r="H10"/>
  <c r="C214"/>
  <c r="L35" i="85"/>
  <c r="Q45"/>
  <c r="P122" i="84"/>
  <c r="L44" i="85"/>
  <c r="L36"/>
  <c r="J281" i="84"/>
  <c r="L38" i="85"/>
  <c r="L39" s="1"/>
  <c r="L34"/>
  <c r="L26" l="1"/>
  <c r="H214" i="64"/>
  <c r="C213"/>
  <c r="H213" s="1"/>
  <c r="C101"/>
  <c r="H71"/>
  <c r="H70"/>
  <c r="F241" i="61"/>
  <c r="I45" i="85"/>
  <c r="I46"/>
  <c r="J279" i="84"/>
  <c r="L37" i="85"/>
  <c r="G36"/>
  <c r="J122" i="84"/>
  <c r="K122"/>
  <c r="N45" i="85"/>
  <c r="K36"/>
  <c r="O45"/>
  <c r="G38"/>
  <c r="G39" s="1"/>
  <c r="K38"/>
  <c r="P46"/>
  <c r="Q44"/>
  <c r="N122" i="84"/>
  <c r="G40" i="85"/>
  <c r="G41" s="1"/>
  <c r="I40"/>
  <c r="I41" s="1"/>
  <c r="I44"/>
  <c r="N36"/>
  <c r="R36"/>
  <c r="H36"/>
  <c r="Q281" i="84"/>
  <c r="R38" i="85"/>
  <c r="R39" s="1"/>
  <c r="I36"/>
  <c r="P120" i="84"/>
  <c r="I38" i="85"/>
  <c r="I39" s="1"/>
  <c r="L281" i="84"/>
  <c r="N38" i="85"/>
  <c r="N39" s="1"/>
  <c r="L28" l="1"/>
  <c r="J270" i="84"/>
  <c r="C102" i="64"/>
  <c r="H102" s="1"/>
  <c r="H101"/>
  <c r="C23" i="70"/>
  <c r="I47" i="85"/>
  <c r="I52" s="1"/>
  <c r="P130" i="84"/>
  <c r="P135" s="1"/>
  <c r="M45" i="85"/>
  <c r="L46"/>
  <c r="I281" i="84"/>
  <c r="M112"/>
  <c r="H34" i="85"/>
  <c r="N120" i="84"/>
  <c r="H45" i="85"/>
  <c r="P38"/>
  <c r="P39" s="1"/>
  <c r="O281" i="84"/>
  <c r="N280"/>
  <c r="N281" s="1"/>
  <c r="O35" i="85"/>
  <c r="N278" i="84"/>
  <c r="P34" i="85"/>
  <c r="M115" i="84"/>
  <c r="H115"/>
  <c r="P36" i="85"/>
  <c r="N276" i="84"/>
  <c r="E40" i="85"/>
  <c r="E41" s="1"/>
  <c r="K40"/>
  <c r="D38"/>
  <c r="D39" s="1"/>
  <c r="C44"/>
  <c r="G44"/>
  <c r="K46"/>
  <c r="C40"/>
  <c r="I122" i="84"/>
  <c r="O44" i="85"/>
  <c r="P44"/>
  <c r="O291" i="84"/>
  <c r="O296" s="1"/>
  <c r="G46" i="85"/>
  <c r="F44"/>
  <c r="N44"/>
  <c r="I283" i="84"/>
  <c r="D40" i="85"/>
  <c r="D41" s="1"/>
  <c r="D44"/>
  <c r="P45"/>
  <c r="C45"/>
  <c r="M44"/>
  <c r="H276" i="84"/>
  <c r="D36" i="85"/>
  <c r="H280" i="84"/>
  <c r="F36" i="85"/>
  <c r="L120" i="84"/>
  <c r="F38" i="85"/>
  <c r="F39" s="1"/>
  <c r="K39"/>
  <c r="O36"/>
  <c r="M281" i="84"/>
  <c r="O38" i="85"/>
  <c r="O39" s="1"/>
  <c r="C36"/>
  <c r="I120" i="84"/>
  <c r="C38" i="85"/>
  <c r="E36"/>
  <c r="E38"/>
  <c r="E39" s="1"/>
  <c r="K120" i="84"/>
  <c r="Q38" i="85"/>
  <c r="Q39" s="1"/>
  <c r="P281" i="84"/>
  <c r="O34" i="85"/>
  <c r="D34"/>
  <c r="Q34"/>
  <c r="H112" i="84"/>
  <c r="C34" i="85"/>
  <c r="E34"/>
  <c r="D60" i="61" l="1"/>
  <c r="D84"/>
  <c r="D31" i="68" s="1"/>
  <c r="E21" i="61"/>
  <c r="E34"/>
  <c r="F45"/>
  <c r="O279" i="84"/>
  <c r="C27" i="85"/>
  <c r="E163" i="61"/>
  <c r="F28" i="85"/>
  <c r="O23"/>
  <c r="Q28"/>
  <c r="E38" i="61"/>
  <c r="E43"/>
  <c r="E157"/>
  <c r="F137"/>
  <c r="D35"/>
  <c r="E39"/>
  <c r="D68"/>
  <c r="F13"/>
  <c r="E124"/>
  <c r="G23" i="85"/>
  <c r="D16" i="61"/>
  <c r="E169"/>
  <c r="E19"/>
  <c r="F49"/>
  <c r="I28" i="85"/>
  <c r="D23" i="61"/>
  <c r="E53"/>
  <c r="E36"/>
  <c r="F128"/>
  <c r="N35" i="85"/>
  <c r="R45"/>
  <c r="F27"/>
  <c r="H28"/>
  <c r="N23"/>
  <c r="D161" i="61"/>
  <c r="V10" i="72"/>
  <c r="F38" i="61"/>
  <c r="C28" i="85"/>
  <c r="F20" i="61"/>
  <c r="K28" i="85"/>
  <c r="I270" i="84"/>
  <c r="P28" i="85"/>
  <c r="N28"/>
  <c r="N40"/>
  <c r="N41" s="1"/>
  <c r="N275" i="84"/>
  <c r="Q23" i="85"/>
  <c r="E55" i="61"/>
  <c r="E153"/>
  <c r="F174"/>
  <c r="E126"/>
  <c r="F136"/>
  <c r="M114" i="84"/>
  <c r="D27" i="61"/>
  <c r="E67"/>
  <c r="D48"/>
  <c r="F36"/>
  <c r="F126"/>
  <c r="D183"/>
  <c r="I24" i="68" s="1"/>
  <c r="D43" i="61"/>
  <c r="F63"/>
  <c r="H40" i="85"/>
  <c r="H41" s="1"/>
  <c r="F54" i="61"/>
  <c r="L122" i="84"/>
  <c r="F77" i="61"/>
  <c r="F24" i="68" s="1"/>
  <c r="E175" i="61"/>
  <c r="F155"/>
  <c r="E127"/>
  <c r="E65"/>
  <c r="F175"/>
  <c r="E47"/>
  <c r="E172"/>
  <c r="F34" i="85"/>
  <c r="E28"/>
  <c r="D9" i="72"/>
  <c r="D14" s="1"/>
  <c r="D15" s="1"/>
  <c r="D37" s="1"/>
  <c r="D40" i="90" s="1"/>
  <c r="E182" i="61"/>
  <c r="J23" i="68" s="1"/>
  <c r="F148" i="61"/>
  <c r="F146" s="1"/>
  <c r="D14"/>
  <c r="D173"/>
  <c r="N46" i="85"/>
  <c r="N47" s="1"/>
  <c r="N52" s="1"/>
  <c r="Q27"/>
  <c r="R28"/>
  <c r="E183" i="61"/>
  <c r="J24" i="68" s="1"/>
  <c r="I23" i="85"/>
  <c r="P270" i="84"/>
  <c r="O40" i="85"/>
  <c r="O41" s="1"/>
  <c r="H23"/>
  <c r="N27"/>
  <c r="P40"/>
  <c r="P41" s="1"/>
  <c r="F39" i="61"/>
  <c r="D42"/>
  <c r="F80"/>
  <c r="F27" i="68" s="1"/>
  <c r="D81" i="61"/>
  <c r="D28" i="68" s="1"/>
  <c r="F172" i="61"/>
  <c r="E23" i="85"/>
  <c r="F17" i="61"/>
  <c r="F125"/>
  <c r="D143"/>
  <c r="F53"/>
  <c r="F130"/>
  <c r="D138"/>
  <c r="E187"/>
  <c r="J28" i="68" s="1"/>
  <c r="F168" i="61"/>
  <c r="D140"/>
  <c r="D130"/>
  <c r="F154"/>
  <c r="D129"/>
  <c r="D56"/>
  <c r="F166"/>
  <c r="Q283" i="84"/>
  <c r="Q270"/>
  <c r="I27" i="85"/>
  <c r="F124" i="61"/>
  <c r="F60"/>
  <c r="M270" i="84"/>
  <c r="N34" i="85"/>
  <c r="E45"/>
  <c r="I34"/>
  <c r="F46"/>
  <c r="L30"/>
  <c r="L31" s="1"/>
  <c r="E19" i="70"/>
  <c r="R23" i="85"/>
  <c r="E20" i="70"/>
  <c r="F20" s="1"/>
  <c r="H20" s="1"/>
  <c r="L24" i="85"/>
  <c r="E241" i="61"/>
  <c r="H27" i="85"/>
  <c r="E22" i="70"/>
  <c r="E46" i="61"/>
  <c r="E42"/>
  <c r="J283" i="84"/>
  <c r="J284" s="1"/>
  <c r="L40" i="85"/>
  <c r="L41" s="1"/>
  <c r="L42" s="1"/>
  <c r="C21" i="70"/>
  <c r="F23"/>
  <c r="J120" i="84"/>
  <c r="O28" i="85"/>
  <c r="F23"/>
  <c r="L22"/>
  <c r="G280" i="84"/>
  <c r="G281" s="1"/>
  <c r="C35" i="85"/>
  <c r="C37" s="1"/>
  <c r="M279" i="84"/>
  <c r="I118"/>
  <c r="I123" s="1"/>
  <c r="H119"/>
  <c r="H120" s="1"/>
  <c r="N274"/>
  <c r="Q36" i="85"/>
  <c r="H275" i="84"/>
  <c r="H281"/>
  <c r="P47" i="85"/>
  <c r="P52" s="1"/>
  <c r="G276" i="84"/>
  <c r="M116"/>
  <c r="D46" i="85"/>
  <c r="J36"/>
  <c r="I279" i="84"/>
  <c r="I284" s="1"/>
  <c r="O37" i="85"/>
  <c r="H114" i="84"/>
  <c r="G115"/>
  <c r="K34" i="85"/>
  <c r="C41"/>
  <c r="K41"/>
  <c r="C39"/>
  <c r="M36"/>
  <c r="K281" i="84"/>
  <c r="M38" i="85"/>
  <c r="G112" i="84"/>
  <c r="F119" i="61" l="1"/>
  <c r="P35" i="85"/>
  <c r="P37" s="1"/>
  <c r="P42" s="1"/>
  <c r="P27"/>
  <c r="F56" i="61"/>
  <c r="D155"/>
  <c r="F55"/>
  <c r="G114" i="84"/>
  <c r="D61" i="61"/>
  <c r="E142"/>
  <c r="F65"/>
  <c r="C172" i="65"/>
  <c r="H172" s="1"/>
  <c r="L283" i="84"/>
  <c r="G27" i="85"/>
  <c r="F35" i="61"/>
  <c r="F66"/>
  <c r="N268" i="84"/>
  <c r="E171" i="61"/>
  <c r="F78"/>
  <c r="F25" i="68" s="1"/>
  <c r="D20" i="61"/>
  <c r="N267" i="84"/>
  <c r="H121"/>
  <c r="H122" s="1"/>
  <c r="D124" i="61"/>
  <c r="C124" s="1"/>
  <c r="H124" s="1"/>
  <c r="E162"/>
  <c r="D10" i="90"/>
  <c r="D15" s="1"/>
  <c r="D16" s="1"/>
  <c r="D38" s="1"/>
  <c r="D41" s="1"/>
  <c r="F59" i="61"/>
  <c r="F24" i="85"/>
  <c r="F144" i="61"/>
  <c r="F47"/>
  <c r="F134"/>
  <c r="F153"/>
  <c r="F28"/>
  <c r="E14"/>
  <c r="D34"/>
  <c r="D144"/>
  <c r="D175"/>
  <c r="C175" s="1"/>
  <c r="E175" i="76" s="1"/>
  <c r="N265" i="84"/>
  <c r="F22" i="61"/>
  <c r="E33"/>
  <c r="D125"/>
  <c r="F131"/>
  <c r="F161"/>
  <c r="F122"/>
  <c r="F142"/>
  <c r="D23" i="85"/>
  <c r="F163" i="61"/>
  <c r="D53"/>
  <c r="C53" s="1"/>
  <c r="H53" s="1"/>
  <c r="F152"/>
  <c r="D47"/>
  <c r="F183"/>
  <c r="K24" i="68" s="1"/>
  <c r="H24" s="1"/>
  <c r="D29" i="61"/>
  <c r="F114"/>
  <c r="K11" i="68" s="1"/>
  <c r="C11" i="90"/>
  <c r="F19" i="61"/>
  <c r="D152"/>
  <c r="M23" i="85"/>
  <c r="F129" i="61"/>
  <c r="F188"/>
  <c r="K29" i="68" s="1"/>
  <c r="K27" i="85"/>
  <c r="M34"/>
  <c r="Q24"/>
  <c r="M96" i="84"/>
  <c r="D158" i="61"/>
  <c r="O283" i="84"/>
  <c r="O284" s="1"/>
  <c r="F156" i="61"/>
  <c r="L279" i="84"/>
  <c r="O122"/>
  <c r="M121"/>
  <c r="M122" s="1"/>
  <c r="N287"/>
  <c r="E9" i="72"/>
  <c r="E10" i="90" s="1"/>
  <c r="E15" s="1"/>
  <c r="E16" s="1"/>
  <c r="E38" s="1"/>
  <c r="D146" i="65"/>
  <c r="C10" i="90"/>
  <c r="C12"/>
  <c r="R24" i="85"/>
  <c r="N256" i="84"/>
  <c r="O24" i="85"/>
  <c r="R27"/>
  <c r="D162" i="61"/>
  <c r="D63"/>
  <c r="R40" i="85"/>
  <c r="R41" s="1"/>
  <c r="F164" i="61"/>
  <c r="E239"/>
  <c r="E242" s="1"/>
  <c r="M27" i="85"/>
  <c r="F33" i="61"/>
  <c r="E146" i="65"/>
  <c r="D185" i="61"/>
  <c r="I26" i="68" s="1"/>
  <c r="F15" i="61"/>
  <c r="R35" i="85"/>
  <c r="H273" i="84"/>
  <c r="N37" i="85"/>
  <c r="N42" s="1"/>
  <c r="F121" i="61"/>
  <c r="N255" i="84"/>
  <c r="H117"/>
  <c r="F127" i="61"/>
  <c r="F81"/>
  <c r="F28" i="68" s="1"/>
  <c r="E143" i="61"/>
  <c r="Q279" i="84"/>
  <c r="Q284" s="1"/>
  <c r="F41" i="61"/>
  <c r="N261" i="84"/>
  <c r="F40" i="85"/>
  <c r="F41" s="1"/>
  <c r="F62" i="61"/>
  <c r="D168"/>
  <c r="N282" i="84"/>
  <c r="N283" s="1"/>
  <c r="F182" i="61"/>
  <c r="K23" i="68" s="1"/>
  <c r="D52" i="61"/>
  <c r="M283" i="84"/>
  <c r="M284" s="1"/>
  <c r="D15" i="61"/>
  <c r="I30" i="85"/>
  <c r="I31" s="1"/>
  <c r="P109" i="84"/>
  <c r="K24" i="85"/>
  <c r="L270" i="84"/>
  <c r="F167" i="61"/>
  <c r="D54"/>
  <c r="F69"/>
  <c r="D153"/>
  <c r="F34"/>
  <c r="C34" s="1"/>
  <c r="L291" i="84"/>
  <c r="L296" s="1"/>
  <c r="D127" i="61"/>
  <c r="M46" i="85"/>
  <c r="M47" s="1"/>
  <c r="M52" s="1"/>
  <c r="N24"/>
  <c r="N264" i="84"/>
  <c r="E129" i="61"/>
  <c r="O42" i="85"/>
  <c r="F146" i="65"/>
  <c r="K130" i="84"/>
  <c r="K135" s="1"/>
  <c r="M106"/>
  <c r="B21" i="70"/>
  <c r="E29" i="61"/>
  <c r="Q46" i="85"/>
  <c r="Q47" s="1"/>
  <c r="Q52" s="1"/>
  <c r="P291" i="84"/>
  <c r="P296" s="1"/>
  <c r="D171" i="61"/>
  <c r="R34" i="85"/>
  <c r="N273" i="84"/>
  <c r="E131" i="61"/>
  <c r="E168"/>
  <c r="E141"/>
  <c r="E128"/>
  <c r="E186"/>
  <c r="J27" i="68" s="1"/>
  <c r="M107" i="84"/>
  <c r="R26" i="85"/>
  <c r="F187" i="61"/>
  <c r="K28" i="68" s="1"/>
  <c r="F158" i="61"/>
  <c r="E137"/>
  <c r="H261" i="84"/>
  <c r="D241" i="61"/>
  <c r="C241" s="1"/>
  <c r="C241" i="65"/>
  <c r="H241" s="1"/>
  <c r="F133" i="61"/>
  <c r="D114"/>
  <c r="I11" i="68" s="1"/>
  <c r="H44" i="85"/>
  <c r="M125" i="84"/>
  <c r="P283"/>
  <c r="Q40" i="85"/>
  <c r="Q41" s="1"/>
  <c r="M117" i="84"/>
  <c r="G34" i="85"/>
  <c r="J34" s="1"/>
  <c r="I24"/>
  <c r="E161" i="61"/>
  <c r="F85"/>
  <c r="F32" i="68" s="1"/>
  <c r="F145" i="61"/>
  <c r="E166"/>
  <c r="D188"/>
  <c r="I29" i="68" s="1"/>
  <c r="E167" i="61"/>
  <c r="E190"/>
  <c r="J31" i="68" s="1"/>
  <c r="F186" i="61"/>
  <c r="K27" i="68" s="1"/>
  <c r="H95" i="84"/>
  <c r="D142" i="61"/>
  <c r="F191"/>
  <c r="K32" i="68" s="1"/>
  <c r="F171" i="61"/>
  <c r="F190"/>
  <c r="K31" i="68" s="1"/>
  <c r="L45" i="85"/>
  <c r="J291" i="84"/>
  <c r="J296" s="1"/>
  <c r="D46" i="61"/>
  <c r="D163"/>
  <c r="D164"/>
  <c r="F138"/>
  <c r="E164"/>
  <c r="O46" i="85"/>
  <c r="M291" i="84"/>
  <c r="M296" s="1"/>
  <c r="F22" i="70"/>
  <c r="H22" s="1"/>
  <c r="E21"/>
  <c r="F157" i="61"/>
  <c r="F135"/>
  <c r="E158"/>
  <c r="D121"/>
  <c r="H126" i="84"/>
  <c r="E155" i="61"/>
  <c r="E136"/>
  <c r="F141"/>
  <c r="L27" i="85"/>
  <c r="L29" s="1"/>
  <c r="J262" i="84"/>
  <c r="F162" i="61"/>
  <c r="F140"/>
  <c r="E145"/>
  <c r="E191"/>
  <c r="J32" i="68" s="1"/>
  <c r="B17" i="70"/>
  <c r="C18"/>
  <c r="R46" i="85"/>
  <c r="N288" i="84"/>
  <c r="K23" i="85"/>
  <c r="D167" i="61"/>
  <c r="D131"/>
  <c r="D156"/>
  <c r="E134"/>
  <c r="E135"/>
  <c r="E156"/>
  <c r="H127" i="84"/>
  <c r="F173" i="61"/>
  <c r="E17" i="70"/>
  <c r="F19"/>
  <c r="H19" s="1"/>
  <c r="E133" i="61"/>
  <c r="E114"/>
  <c r="J11" i="68" s="1"/>
  <c r="F169" i="61"/>
  <c r="E154"/>
  <c r="E174"/>
  <c r="E16"/>
  <c r="G275" i="84"/>
  <c r="C53" i="65"/>
  <c r="H53" s="1"/>
  <c r="C183" i="61"/>
  <c r="H183" s="1"/>
  <c r="C124" i="65"/>
  <c r="H124" s="1"/>
  <c r="D172" i="61"/>
  <c r="H23" i="70"/>
  <c r="M99" i="84"/>
  <c r="M93"/>
  <c r="P24" i="85"/>
  <c r="R44"/>
  <c r="N286" i="84"/>
  <c r="Q291"/>
  <c r="Q296" s="1"/>
  <c r="M104"/>
  <c r="M95"/>
  <c r="H24" i="85"/>
  <c r="N257" i="84"/>
  <c r="F29" i="61"/>
  <c r="O120" i="84"/>
  <c r="H38" i="85"/>
  <c r="M119" i="84"/>
  <c r="M120" s="1"/>
  <c r="D19" i="61"/>
  <c r="C24" i="85"/>
  <c r="H113" i="84"/>
  <c r="M103"/>
  <c r="E80" i="61"/>
  <c r="D49"/>
  <c r="D67"/>
  <c r="C14" i="65"/>
  <c r="H14" s="1"/>
  <c r="D45" i="85"/>
  <c r="J130" i="84"/>
  <c r="J135" s="1"/>
  <c r="E46" i="85"/>
  <c r="E23" i="61"/>
  <c r="M105" i="84"/>
  <c r="C42" i="85"/>
  <c r="S36"/>
  <c r="T36" s="1"/>
  <c r="V36" s="1"/>
  <c r="D35"/>
  <c r="J118" i="84"/>
  <c r="J123" s="1"/>
  <c r="M39" i="85"/>
  <c r="S38"/>
  <c r="H277" i="84"/>
  <c r="K35" i="85"/>
  <c r="L284" i="84" l="1"/>
  <c r="C155" i="61"/>
  <c r="E155" i="76" s="1"/>
  <c r="C14" i="72"/>
  <c r="C15" s="1"/>
  <c r="C37" s="1"/>
  <c r="C40" i="90" s="1"/>
  <c r="C163" i="61"/>
  <c r="C161"/>
  <c r="H161" s="1"/>
  <c r="C47" i="65"/>
  <c r="H47" s="1"/>
  <c r="C47" i="61"/>
  <c r="C19" i="65"/>
  <c r="H19" s="1"/>
  <c r="C19" i="61"/>
  <c r="H19" s="1"/>
  <c r="C175" i="65"/>
  <c r="H175" s="1"/>
  <c r="F113" i="61"/>
  <c r="C183" i="65"/>
  <c r="H183" s="1"/>
  <c r="G117" i="84"/>
  <c r="H106"/>
  <c r="G106" s="1"/>
  <c r="C184" i="65"/>
  <c r="H184" s="1"/>
  <c r="C15" i="90"/>
  <c r="C16" s="1"/>
  <c r="C38" s="1"/>
  <c r="V11" i="72"/>
  <c r="F123" i="61"/>
  <c r="K15" i="68" s="1"/>
  <c r="N260" i="84"/>
  <c r="D226" i="61"/>
  <c r="C142"/>
  <c r="C153"/>
  <c r="E153" i="76" s="1"/>
  <c r="R29" i="85"/>
  <c r="F180" i="61"/>
  <c r="K21" i="68" s="1"/>
  <c r="E242" i="65"/>
  <c r="G261" i="84"/>
  <c r="R37" i="85"/>
  <c r="R42" s="1"/>
  <c r="E14" i="72"/>
  <c r="E15" s="1"/>
  <c r="E37" s="1"/>
  <c r="E40" i="90" s="1"/>
  <c r="E41" s="1"/>
  <c r="F9" i="72"/>
  <c r="F14" s="1"/>
  <c r="F15" s="1"/>
  <c r="F37" s="1"/>
  <c r="F40" i="90" s="1"/>
  <c r="F123" i="65"/>
  <c r="H278" i="84"/>
  <c r="G278" s="1"/>
  <c r="E53" i="76"/>
  <c r="C121" i="65"/>
  <c r="H121" s="1"/>
  <c r="F159" i="61"/>
  <c r="K11" i="69" s="1"/>
  <c r="C129" i="61"/>
  <c r="E129" i="76" s="1"/>
  <c r="D148" i="61"/>
  <c r="D146" s="1"/>
  <c r="H175"/>
  <c r="G273" i="84"/>
  <c r="G121"/>
  <c r="G122" s="1"/>
  <c r="C148" i="65"/>
  <c r="H148" s="1"/>
  <c r="C127" i="61"/>
  <c r="H127" s="1"/>
  <c r="Q262" i="84"/>
  <c r="H93"/>
  <c r="G93" s="1"/>
  <c r="C29" i="61"/>
  <c r="H29" s="1"/>
  <c r="C188" i="65"/>
  <c r="H188" s="1"/>
  <c r="D119" i="61"/>
  <c r="E148"/>
  <c r="F32" i="79"/>
  <c r="G32" s="1"/>
  <c r="D226" i="65"/>
  <c r="C168" i="61"/>
  <c r="H168" s="1"/>
  <c r="G9" i="72"/>
  <c r="H9" s="1"/>
  <c r="I9" s="1"/>
  <c r="J40" i="85"/>
  <c r="J41" s="1"/>
  <c r="M28"/>
  <c r="S28" s="1"/>
  <c r="C29" i="65"/>
  <c r="H29" s="1"/>
  <c r="C158"/>
  <c r="H158" s="1"/>
  <c r="F118" i="61"/>
  <c r="E113"/>
  <c r="F150"/>
  <c r="K9" i="69" s="1"/>
  <c r="C158" i="61"/>
  <c r="H158" s="1"/>
  <c r="C129" i="65"/>
  <c r="H129" s="1"/>
  <c r="R30" i="85"/>
  <c r="R31" s="1"/>
  <c r="F21" i="70"/>
  <c r="H21" s="1"/>
  <c r="E159" i="61"/>
  <c r="J11" i="69" s="1"/>
  <c r="H256" i="84"/>
  <c r="G256" s="1"/>
  <c r="C168" i="65"/>
  <c r="H168" s="1"/>
  <c r="F74" i="61"/>
  <c r="F21" i="68" s="1"/>
  <c r="S34" i="85"/>
  <c r="T34" s="1"/>
  <c r="V34" s="1"/>
  <c r="N30"/>
  <c r="N31" s="1"/>
  <c r="H107" i="84"/>
  <c r="G107" s="1"/>
  <c r="E124" i="76"/>
  <c r="D24" i="85"/>
  <c r="C34" i="65"/>
  <c r="H34" s="1"/>
  <c r="H255" i="84"/>
  <c r="G255" s="1"/>
  <c r="C127" i="65"/>
  <c r="H127" s="1"/>
  <c r="C153"/>
  <c r="H153" s="1"/>
  <c r="D51"/>
  <c r="E189" i="61"/>
  <c r="J30" i="68" s="1"/>
  <c r="C114" i="65"/>
  <c r="H114" s="1"/>
  <c r="H96" i="84"/>
  <c r="G96" s="1"/>
  <c r="H288"/>
  <c r="G288" s="1"/>
  <c r="K291"/>
  <c r="K296" s="1"/>
  <c r="H104"/>
  <c r="G104" s="1"/>
  <c r="C163" i="65"/>
  <c r="H163" s="1"/>
  <c r="E24" i="85"/>
  <c r="E26" i="70"/>
  <c r="E64" s="1"/>
  <c r="E79" s="1"/>
  <c r="C167" i="61"/>
  <c r="C171"/>
  <c r="H171" s="1"/>
  <c r="N109" i="84"/>
  <c r="E171" i="76"/>
  <c r="C131" i="61"/>
  <c r="E131" i="76" s="1"/>
  <c r="C164" i="61"/>
  <c r="G30" i="85"/>
  <c r="G31" s="1"/>
  <c r="C161" i="65"/>
  <c r="H161" s="1"/>
  <c r="B26" i="70"/>
  <c r="B64" s="1"/>
  <c r="B79" s="1"/>
  <c r="C164" i="65"/>
  <c r="H164" s="1"/>
  <c r="H103" i="84"/>
  <c r="G103" s="1"/>
  <c r="H125"/>
  <c r="G125" s="1"/>
  <c r="E44" i="85"/>
  <c r="E47" s="1"/>
  <c r="E52" s="1"/>
  <c r="K45"/>
  <c r="S45" s="1"/>
  <c r="H287" i="84"/>
  <c r="G287" s="1"/>
  <c r="D113" i="61"/>
  <c r="E122"/>
  <c r="H267" i="84"/>
  <c r="G267" s="1"/>
  <c r="D181" i="61"/>
  <c r="I22" i="68" s="1"/>
  <c r="K30" i="85"/>
  <c r="K31" s="1"/>
  <c r="D159" i="65"/>
  <c r="C162"/>
  <c r="H162" s="1"/>
  <c r="C162" i="61"/>
  <c r="F150" i="65"/>
  <c r="F26" i="85"/>
  <c r="F29" s="1"/>
  <c r="D165" i="65"/>
  <c r="D112" i="61"/>
  <c r="F159" i="65"/>
  <c r="D120" i="61"/>
  <c r="C156"/>
  <c r="H156" s="1"/>
  <c r="M100" i="84"/>
  <c r="G28" i="85"/>
  <c r="C156" i="65"/>
  <c r="H156" s="1"/>
  <c r="D150"/>
  <c r="F165" i="61"/>
  <c r="K13" i="69" s="1"/>
  <c r="E118" i="61"/>
  <c r="C22" i="85"/>
  <c r="F181" i="61"/>
  <c r="K22" i="68" s="1"/>
  <c r="H155" i="61"/>
  <c r="E181"/>
  <c r="J22" i="68" s="1"/>
  <c r="E120" i="61"/>
  <c r="F189"/>
  <c r="K30" i="68" s="1"/>
  <c r="D159" i="61"/>
  <c r="I11" i="69" s="1"/>
  <c r="H11" i="68"/>
  <c r="F84" i="61"/>
  <c r="F31" i="68" s="1"/>
  <c r="E78" i="61"/>
  <c r="E25" i="68" s="1"/>
  <c r="E173" i="61"/>
  <c r="C173" i="65"/>
  <c r="H173" s="1"/>
  <c r="E61" i="61"/>
  <c r="D186"/>
  <c r="C186" i="65"/>
  <c r="H186" s="1"/>
  <c r="H46" i="85"/>
  <c r="H47" s="1"/>
  <c r="H52" s="1"/>
  <c r="M127" i="84"/>
  <c r="G127" s="1"/>
  <c r="L47" i="85"/>
  <c r="L52" s="1"/>
  <c r="E37" i="61"/>
  <c r="I26" i="85"/>
  <c r="I29" s="1"/>
  <c r="D135" i="61"/>
  <c r="C135" s="1"/>
  <c r="C135" i="65"/>
  <c r="H135" s="1"/>
  <c r="D166" i="61"/>
  <c r="C166" s="1"/>
  <c r="C166" i="65"/>
  <c r="H166" s="1"/>
  <c r="F64"/>
  <c r="E62" i="61"/>
  <c r="E159" i="65"/>
  <c r="H265" i="84"/>
  <c r="G265" s="1"/>
  <c r="E140" i="61"/>
  <c r="C140" s="1"/>
  <c r="C140" i="65"/>
  <c r="H140" s="1"/>
  <c r="D190" i="61"/>
  <c r="C190" i="65"/>
  <c r="H190" s="1"/>
  <c r="P30" i="85"/>
  <c r="P31" s="1"/>
  <c r="D141" i="61"/>
  <c r="C141" s="1"/>
  <c r="C141" i="65"/>
  <c r="H141" s="1"/>
  <c r="O270" i="84"/>
  <c r="N269"/>
  <c r="N270" s="1"/>
  <c r="F31" i="61"/>
  <c r="P262" i="84"/>
  <c r="D169" i="61"/>
  <c r="C169" s="1"/>
  <c r="C169" i="65"/>
  <c r="H169" s="1"/>
  <c r="D174" i="61"/>
  <c r="C174" s="1"/>
  <c r="C174" i="65"/>
  <c r="H174" s="1"/>
  <c r="D126" i="61"/>
  <c r="C126" i="65"/>
  <c r="H126" s="1"/>
  <c r="E241" i="76"/>
  <c r="H241" i="61"/>
  <c r="I77" i="70"/>
  <c r="J77" s="1"/>
  <c r="D137" i="61"/>
  <c r="C137" s="1"/>
  <c r="C137" i="65"/>
  <c r="H137" s="1"/>
  <c r="D154" i="61"/>
  <c r="C154" i="65"/>
  <c r="H154" s="1"/>
  <c r="F37" i="61"/>
  <c r="D123" i="65"/>
  <c r="C131"/>
  <c r="H131" s="1"/>
  <c r="F132"/>
  <c r="C114" i="61"/>
  <c r="C19" i="75" s="1"/>
  <c r="R19" s="1"/>
  <c r="T19" s="1"/>
  <c r="F165" i="65"/>
  <c r="C142"/>
  <c r="H142" s="1"/>
  <c r="C155"/>
  <c r="H155" s="1"/>
  <c r="C171"/>
  <c r="H171" s="1"/>
  <c r="E165"/>
  <c r="O26" i="85"/>
  <c r="M108" i="84"/>
  <c r="O130"/>
  <c r="O135" s="1"/>
  <c r="L23" i="85"/>
  <c r="L25" s="1"/>
  <c r="L32" s="1"/>
  <c r="J258" i="84"/>
  <c r="J271" s="1"/>
  <c r="J319" s="1"/>
  <c r="F21" i="61"/>
  <c r="E69"/>
  <c r="F18"/>
  <c r="F18" i="70"/>
  <c r="C17"/>
  <c r="C26" s="1"/>
  <c r="H108" i="84"/>
  <c r="M94"/>
  <c r="G24" i="85"/>
  <c r="F45"/>
  <c r="F47" s="1"/>
  <c r="F52" s="1"/>
  <c r="L130" i="84"/>
  <c r="L135" s="1"/>
  <c r="D134" i="61"/>
  <c r="C134" s="1"/>
  <c r="C134" i="65"/>
  <c r="H134" s="1"/>
  <c r="E31" i="61"/>
  <c r="C138" i="65"/>
  <c r="H138" s="1"/>
  <c r="E138" i="61"/>
  <c r="C138" s="1"/>
  <c r="D187"/>
  <c r="C187" i="65"/>
  <c r="H187" s="1"/>
  <c r="D136" i="61"/>
  <c r="C136" s="1"/>
  <c r="C136" i="65"/>
  <c r="H136" s="1"/>
  <c r="D128" i="61"/>
  <c r="C128" s="1"/>
  <c r="C128" i="65"/>
  <c r="H128" s="1"/>
  <c r="D145" i="61"/>
  <c r="C145" s="1"/>
  <c r="C145" i="65"/>
  <c r="H145" s="1"/>
  <c r="G45" i="85"/>
  <c r="G47" s="1"/>
  <c r="G52" s="1"/>
  <c r="M126" i="84"/>
  <c r="G126" s="1"/>
  <c r="N130"/>
  <c r="N135" s="1"/>
  <c r="K44" i="85"/>
  <c r="I291" i="84"/>
  <c r="I296" s="1"/>
  <c r="H286"/>
  <c r="C167" i="65"/>
  <c r="H167" s="1"/>
  <c r="E17" i="61"/>
  <c r="C130" i="65"/>
  <c r="H130" s="1"/>
  <c r="E130" i="61"/>
  <c r="C130" s="1"/>
  <c r="C46" i="85"/>
  <c r="C47" s="1"/>
  <c r="C52" s="1"/>
  <c r="I130" i="84"/>
  <c r="I135" s="1"/>
  <c r="E22" i="61"/>
  <c r="E66"/>
  <c r="F27"/>
  <c r="E27" i="85"/>
  <c r="D191" i="61"/>
  <c r="C191" i="65"/>
  <c r="H191" s="1"/>
  <c r="F143" i="61"/>
  <c r="C143" i="65"/>
  <c r="H143" s="1"/>
  <c r="I262" i="84"/>
  <c r="S46" i="85"/>
  <c r="O47"/>
  <c r="O52" s="1"/>
  <c r="D182" i="61"/>
  <c r="C182" i="65"/>
  <c r="H182" s="1"/>
  <c r="E28" i="61"/>
  <c r="E18"/>
  <c r="D157"/>
  <c r="C157" s="1"/>
  <c r="C157" i="65"/>
  <c r="H157" s="1"/>
  <c r="E77" i="61"/>
  <c r="E24" i="68" s="1"/>
  <c r="E85" i="61"/>
  <c r="E32" i="68" s="1"/>
  <c r="O101" i="84"/>
  <c r="H153" i="61"/>
  <c r="E34" i="76"/>
  <c r="H34" i="61"/>
  <c r="E183" i="76"/>
  <c r="C172" i="61"/>
  <c r="H254" i="84"/>
  <c r="H105"/>
  <c r="G105" s="1"/>
  <c r="H94"/>
  <c r="G95"/>
  <c r="G119"/>
  <c r="G120" s="1"/>
  <c r="H39" i="85"/>
  <c r="J38"/>
  <c r="J39" s="1"/>
  <c r="R47"/>
  <c r="R52" s="1"/>
  <c r="N291" i="84"/>
  <c r="N296" s="1"/>
  <c r="H268"/>
  <c r="G268" s="1"/>
  <c r="E144" i="61"/>
  <c r="C144" i="65"/>
  <c r="E132"/>
  <c r="P23" i="85"/>
  <c r="N254" i="84"/>
  <c r="L118"/>
  <c r="L123" s="1"/>
  <c r="F35" i="85"/>
  <c r="F37" s="1"/>
  <c r="F42" s="1"/>
  <c r="L109" i="84"/>
  <c r="F30" i="85"/>
  <c r="F31" s="1"/>
  <c r="I35"/>
  <c r="I37" s="1"/>
  <c r="I42" s="1"/>
  <c r="P118" i="84"/>
  <c r="P123" s="1"/>
  <c r="L97"/>
  <c r="F22" i="85"/>
  <c r="F25" s="1"/>
  <c r="D44" i="65"/>
  <c r="D45" i="61"/>
  <c r="C45" i="65"/>
  <c r="F68" i="61"/>
  <c r="N97" i="84"/>
  <c r="G22" i="85"/>
  <c r="M102" i="84"/>
  <c r="O109"/>
  <c r="H30" i="85"/>
  <c r="H31" s="1"/>
  <c r="N266" i="84"/>
  <c r="D13" i="61"/>
  <c r="C13" i="65"/>
  <c r="N118" i="84"/>
  <c r="N123" s="1"/>
  <c r="M113"/>
  <c r="M118" s="1"/>
  <c r="M123" s="1"/>
  <c r="G35" i="85"/>
  <c r="G37" s="1"/>
  <c r="G42" s="1"/>
  <c r="E45" i="61"/>
  <c r="O118" i="84"/>
  <c r="O123" s="1"/>
  <c r="H35" i="85"/>
  <c r="H37" s="1"/>
  <c r="O27"/>
  <c r="F48" i="61"/>
  <c r="E27" i="68"/>
  <c r="D41" i="61"/>
  <c r="H260" i="84"/>
  <c r="D47" i="85"/>
  <c r="D52" s="1"/>
  <c r="E13" i="61"/>
  <c r="F14"/>
  <c r="K37" i="85"/>
  <c r="K42" s="1"/>
  <c r="S39"/>
  <c r="D37"/>
  <c r="D42" s="1"/>
  <c r="E161" i="76"/>
  <c r="H163" i="61" l="1"/>
  <c r="E47" i="76"/>
  <c r="C148" i="61"/>
  <c r="H148" s="1"/>
  <c r="E29" i="76"/>
  <c r="E121" i="61"/>
  <c r="C121" s="1"/>
  <c r="H121" s="1"/>
  <c r="C41" i="90"/>
  <c r="I97" i="84"/>
  <c r="E163" i="76"/>
  <c r="H129" i="61"/>
  <c r="E19" i="76"/>
  <c r="H47" i="61"/>
  <c r="G260" i="84"/>
  <c r="C23" i="85"/>
  <c r="C25" s="1"/>
  <c r="E146" i="61"/>
  <c r="E142" i="76"/>
  <c r="H142" i="61"/>
  <c r="C55" i="65"/>
  <c r="H55" s="1"/>
  <c r="D55" i="61"/>
  <c r="D51" s="1"/>
  <c r="C146" i="65"/>
  <c r="H146" s="1"/>
  <c r="H166" i="61"/>
  <c r="F112"/>
  <c r="F110" s="1"/>
  <c r="K9" i="68" s="1"/>
  <c r="F10" i="90"/>
  <c r="F15" s="1"/>
  <c r="F16" s="1"/>
  <c r="F38" s="1"/>
  <c r="F41" s="1"/>
  <c r="E166" i="76"/>
  <c r="E168"/>
  <c r="L101" i="84"/>
  <c r="L110" s="1"/>
  <c r="L158" s="1"/>
  <c r="E158" i="76"/>
  <c r="H130" i="84"/>
  <c r="H135" s="1"/>
  <c r="F227" i="61"/>
  <c r="F225" s="1"/>
  <c r="H14" i="72"/>
  <c r="H15" s="1"/>
  <c r="H37" s="1"/>
  <c r="F227" i="65"/>
  <c r="F225" s="1"/>
  <c r="G14" i="72"/>
  <c r="G15" s="1"/>
  <c r="G37" s="1"/>
  <c r="J44" i="85"/>
  <c r="E127" i="76"/>
  <c r="E162"/>
  <c r="K8" i="69"/>
  <c r="K33" s="1"/>
  <c r="C181" i="61"/>
  <c r="E181" i="76" s="1"/>
  <c r="M262" i="84"/>
  <c r="D110" i="61"/>
  <c r="I9" i="68" s="1"/>
  <c r="E188" i="61"/>
  <c r="J29" i="68" s="1"/>
  <c r="H29" s="1"/>
  <c r="S23" i="85"/>
  <c r="J24"/>
  <c r="H162" i="61"/>
  <c r="F149"/>
  <c r="C159"/>
  <c r="H291" i="84"/>
  <c r="H296" s="1"/>
  <c r="H11" i="69"/>
  <c r="Q26" i="85"/>
  <c r="Q29" s="1"/>
  <c r="G94" i="84"/>
  <c r="K47" i="85"/>
  <c r="K52" s="1"/>
  <c r="J324" i="84"/>
  <c r="J325" s="1"/>
  <c r="F149" i="65"/>
  <c r="E164" i="76"/>
  <c r="H164" i="61"/>
  <c r="E167" i="76"/>
  <c r="C122" i="65"/>
  <c r="H122" s="1"/>
  <c r="P101" i="84"/>
  <c r="D149" i="65"/>
  <c r="M109" i="84"/>
  <c r="H167" i="61"/>
  <c r="H22" i="68"/>
  <c r="C159" i="65"/>
  <c r="H159" s="1"/>
  <c r="D116"/>
  <c r="C181"/>
  <c r="H181" s="1"/>
  <c r="C113" i="61"/>
  <c r="H131"/>
  <c r="F83"/>
  <c r="F30" i="68" s="1"/>
  <c r="K270" i="84"/>
  <c r="H269"/>
  <c r="H270" s="1"/>
  <c r="C64" i="70"/>
  <c r="C79" s="1"/>
  <c r="C113" i="65"/>
  <c r="H113" s="1"/>
  <c r="O29" i="85"/>
  <c r="G25"/>
  <c r="J46"/>
  <c r="C165" i="65"/>
  <c r="H165" s="1"/>
  <c r="E130" i="76"/>
  <c r="D28" i="85"/>
  <c r="J28" s="1"/>
  <c r="T28" s="1"/>
  <c r="V28" s="1"/>
  <c r="H100" i="84"/>
  <c r="G100" s="1"/>
  <c r="E12" i="65"/>
  <c r="E11" s="1"/>
  <c r="D165" i="61"/>
  <c r="I13" i="69" s="1"/>
  <c r="K26" i="85"/>
  <c r="K29" s="1"/>
  <c r="S44"/>
  <c r="S47" s="1"/>
  <c r="S52" s="1"/>
  <c r="H130" i="61"/>
  <c r="E156" i="76"/>
  <c r="L70" i="85"/>
  <c r="L72" s="1"/>
  <c r="C118" i="65"/>
  <c r="H118" s="1"/>
  <c r="D118" i="61"/>
  <c r="H26" i="85"/>
  <c r="H29" s="1"/>
  <c r="D122" i="61"/>
  <c r="C122" s="1"/>
  <c r="H122" s="1"/>
  <c r="S19" i="75"/>
  <c r="G130" i="84"/>
  <c r="G135" s="1"/>
  <c r="I23" i="68"/>
  <c r="H23" s="1"/>
  <c r="C182" i="61"/>
  <c r="R22" i="85"/>
  <c r="R25" s="1"/>
  <c r="R32" s="1"/>
  <c r="R70" s="1"/>
  <c r="R72" s="1"/>
  <c r="Q258" i="84"/>
  <c r="Q271" s="1"/>
  <c r="Q319" s="1"/>
  <c r="H145" i="61"/>
  <c r="E145" i="76"/>
  <c r="F24" i="79"/>
  <c r="G24" s="1"/>
  <c r="I28" i="68"/>
  <c r="H28" s="1"/>
  <c r="C187" i="61"/>
  <c r="F82"/>
  <c r="F29" i="68" s="1"/>
  <c r="H138" i="61"/>
  <c r="F10" i="79"/>
  <c r="G10" s="1"/>
  <c r="E138" i="76"/>
  <c r="Q30" i="85"/>
  <c r="Q31" s="1"/>
  <c r="F239" i="61"/>
  <c r="F242" s="1"/>
  <c r="F242" i="65"/>
  <c r="N26" i="85"/>
  <c r="N29" s="1"/>
  <c r="L262" i="84"/>
  <c r="E83" i="61"/>
  <c r="E30" i="68" s="1"/>
  <c r="P97" i="84"/>
  <c r="I22" i="85"/>
  <c r="I25" s="1"/>
  <c r="I32" s="1"/>
  <c r="I70" s="1"/>
  <c r="I72" s="1"/>
  <c r="C126" i="61"/>
  <c r="D123"/>
  <c r="I15" i="68" s="1"/>
  <c r="E174" i="76"/>
  <c r="H174" i="61"/>
  <c r="M258" i="84"/>
  <c r="O22" i="85"/>
  <c r="O25" s="1"/>
  <c r="E81" i="61"/>
  <c r="C81" i="65"/>
  <c r="H81" s="1"/>
  <c r="I31" i="68"/>
  <c r="H31" s="1"/>
  <c r="C190" i="61"/>
  <c r="L258" i="84"/>
  <c r="N22" i="85"/>
  <c r="N25" s="1"/>
  <c r="F42" i="61"/>
  <c r="C42" s="1"/>
  <c r="C42" i="65"/>
  <c r="H42" s="1"/>
  <c r="D36" i="61"/>
  <c r="C36" s="1"/>
  <c r="C36" i="65"/>
  <c r="H36" s="1"/>
  <c r="F30" i="61"/>
  <c r="D31"/>
  <c r="C31" s="1"/>
  <c r="C31" i="65"/>
  <c r="H31" s="1"/>
  <c r="D38" i="61"/>
  <c r="C38" s="1"/>
  <c r="C38" i="65"/>
  <c r="H38" s="1"/>
  <c r="H257" i="84"/>
  <c r="G257" s="1"/>
  <c r="M24" i="85"/>
  <c r="S24" s="1"/>
  <c r="M130" i="84"/>
  <c r="M135" s="1"/>
  <c r="G108"/>
  <c r="E75" i="61"/>
  <c r="E22" i="68" s="1"/>
  <c r="E56" i="61"/>
  <c r="C56" s="1"/>
  <c r="C56" i="65"/>
  <c r="H56" s="1"/>
  <c r="C143" i="61"/>
  <c r="F132"/>
  <c r="K16" i="68" s="1"/>
  <c r="I109" i="84"/>
  <c r="C30" i="85"/>
  <c r="C31" s="1"/>
  <c r="D66" i="61"/>
  <c r="C66" s="1"/>
  <c r="C66" i="65"/>
  <c r="H66" s="1"/>
  <c r="F185" i="61"/>
  <c r="F226" i="65"/>
  <c r="D40" i="61"/>
  <c r="D85"/>
  <c r="C85" i="65"/>
  <c r="H85" s="1"/>
  <c r="H137" i="61"/>
  <c r="E137" i="76"/>
  <c r="Q22" i="85"/>
  <c r="Q25" s="1"/>
  <c r="P258" i="84"/>
  <c r="P271" s="1"/>
  <c r="F23" i="61"/>
  <c r="C23" s="1"/>
  <c r="C23" i="65"/>
  <c r="H23" s="1"/>
  <c r="C77"/>
  <c r="H77" s="1"/>
  <c r="D77" i="61"/>
  <c r="D80"/>
  <c r="C80" i="65"/>
  <c r="H80" s="1"/>
  <c r="E140" i="76"/>
  <c r="H140" i="61"/>
  <c r="E30"/>
  <c r="I27" i="68"/>
  <c r="H27" s="1"/>
  <c r="C186" i="61"/>
  <c r="C27" i="65"/>
  <c r="H27" s="1"/>
  <c r="E27" i="61"/>
  <c r="C27" s="1"/>
  <c r="G286" i="84"/>
  <c r="G291" s="1"/>
  <c r="G296" s="1"/>
  <c r="J45" i="85"/>
  <c r="T45" s="1"/>
  <c r="V45" s="1"/>
  <c r="H102" i="84"/>
  <c r="F179" i="65"/>
  <c r="F178" s="1"/>
  <c r="F177" s="1"/>
  <c r="F207" s="1"/>
  <c r="F43" i="61"/>
  <c r="C43" s="1"/>
  <c r="C43" i="65"/>
  <c r="H43" s="1"/>
  <c r="C37"/>
  <c r="H37" s="1"/>
  <c r="D37" i="61"/>
  <c r="C37" s="1"/>
  <c r="C63" i="65"/>
  <c r="H63" s="1"/>
  <c r="E63" i="61"/>
  <c r="C63" s="1"/>
  <c r="H157"/>
  <c r="E157" i="76"/>
  <c r="C39" i="65"/>
  <c r="H39" s="1"/>
  <c r="D39" i="61"/>
  <c r="C39" s="1"/>
  <c r="D69"/>
  <c r="C69" s="1"/>
  <c r="C69" i="65"/>
  <c r="H69" s="1"/>
  <c r="I32" i="68"/>
  <c r="H32" s="1"/>
  <c r="C191" i="61"/>
  <c r="D78"/>
  <c r="C78" i="65"/>
  <c r="H78" s="1"/>
  <c r="H128" i="61"/>
  <c r="E128" i="76"/>
  <c r="H136" i="61"/>
  <c r="E136" i="76"/>
  <c r="C239" i="65"/>
  <c r="D239" i="61"/>
  <c r="D242" i="65"/>
  <c r="K258" i="84"/>
  <c r="H114" i="61"/>
  <c r="E114" i="76"/>
  <c r="C54" i="65"/>
  <c r="H54" s="1"/>
  <c r="E54" i="61"/>
  <c r="C54" s="1"/>
  <c r="C154"/>
  <c r="D150"/>
  <c r="I9" i="69" s="1"/>
  <c r="E15" i="61"/>
  <c r="C15" s="1"/>
  <c r="C15" i="65"/>
  <c r="H15" s="1"/>
  <c r="H141" i="61"/>
  <c r="E141" i="76"/>
  <c r="E185" i="61"/>
  <c r="E226" i="65"/>
  <c r="C185"/>
  <c r="H135" i="61"/>
  <c r="E135" i="76"/>
  <c r="C173" i="61"/>
  <c r="C165" s="1"/>
  <c r="E165"/>
  <c r="J13" i="69" s="1"/>
  <c r="C28" i="65"/>
  <c r="H28" s="1"/>
  <c r="D28" i="61"/>
  <c r="C28" s="1"/>
  <c r="E49"/>
  <c r="C49" s="1"/>
  <c r="C49" i="65"/>
  <c r="H49" s="1"/>
  <c r="H266" i="84"/>
  <c r="G266" s="1"/>
  <c r="E60" i="61"/>
  <c r="C60" s="1"/>
  <c r="C60" i="65"/>
  <c r="H60" s="1"/>
  <c r="H134" i="61"/>
  <c r="E134" i="76"/>
  <c r="C33" i="65"/>
  <c r="H33" s="1"/>
  <c r="D33" i="61"/>
  <c r="C33" s="1"/>
  <c r="F17" i="70"/>
  <c r="H18"/>
  <c r="D22" i="61"/>
  <c r="C22" s="1"/>
  <c r="C22" i="65"/>
  <c r="H22" s="1"/>
  <c r="C84"/>
  <c r="H84" s="1"/>
  <c r="E84" i="61"/>
  <c r="D189"/>
  <c r="C189" i="65"/>
  <c r="H189" s="1"/>
  <c r="D75" i="61"/>
  <c r="C35" i="65"/>
  <c r="H35" s="1"/>
  <c r="E35" i="61"/>
  <c r="C35" s="1"/>
  <c r="C20" i="65"/>
  <c r="H20" s="1"/>
  <c r="E20" i="61"/>
  <c r="C20" s="1"/>
  <c r="D21"/>
  <c r="C21" s="1"/>
  <c r="C21" i="65"/>
  <c r="H21" s="1"/>
  <c r="D18" i="61"/>
  <c r="C18" s="1"/>
  <c r="C18" i="65"/>
  <c r="H18" s="1"/>
  <c r="E169" i="76"/>
  <c r="H169" i="61"/>
  <c r="F28" i="79"/>
  <c r="G28" s="1"/>
  <c r="D62" i="61"/>
  <c r="C62" s="1"/>
  <c r="C62" i="65"/>
  <c r="H62" s="1"/>
  <c r="E82" i="61"/>
  <c r="E29" i="68" s="1"/>
  <c r="F67" i="61"/>
  <c r="C67" s="1"/>
  <c r="C67" i="65"/>
  <c r="H67" s="1"/>
  <c r="H99" i="84"/>
  <c r="G99" s="1"/>
  <c r="D27" i="85"/>
  <c r="J27" s="1"/>
  <c r="D110" i="65"/>
  <c r="E172" i="76"/>
  <c r="H172" i="61"/>
  <c r="T38" i="85"/>
  <c r="T39" s="1"/>
  <c r="G254" i="84"/>
  <c r="J23" i="85"/>
  <c r="T23" s="1"/>
  <c r="V23" s="1"/>
  <c r="C144" i="61"/>
  <c r="E132"/>
  <c r="J16" i="68" s="1"/>
  <c r="H42" i="85"/>
  <c r="H144" i="65"/>
  <c r="G113" i="84"/>
  <c r="K118"/>
  <c r="K123" s="1"/>
  <c r="H116"/>
  <c r="E35" i="85"/>
  <c r="S27"/>
  <c r="E30"/>
  <c r="K109" i="84"/>
  <c r="F32" i="85"/>
  <c r="F70" s="1"/>
  <c r="H13" i="65"/>
  <c r="K279" i="84"/>
  <c r="M35" i="85"/>
  <c r="H274" i="84"/>
  <c r="C55" i="61"/>
  <c r="F76"/>
  <c r="F223" i="65"/>
  <c r="C13" i="61"/>
  <c r="C14"/>
  <c r="H263" i="84"/>
  <c r="C45" i="61"/>
  <c r="D44"/>
  <c r="D15" i="68" s="1"/>
  <c r="H45" i="65"/>
  <c r="E121" i="76" l="1"/>
  <c r="E148"/>
  <c r="E146" s="1"/>
  <c r="C146" i="61"/>
  <c r="H146" s="1"/>
  <c r="I69" i="78"/>
  <c r="J69" s="1"/>
  <c r="C24" i="75"/>
  <c r="S24" s="1"/>
  <c r="E122" i="76"/>
  <c r="H181" i="61"/>
  <c r="C112" i="65"/>
  <c r="H112" s="1"/>
  <c r="E159" i="76"/>
  <c r="F110" i="65"/>
  <c r="P110" i="84"/>
  <c r="P158" s="1"/>
  <c r="M271"/>
  <c r="M319" s="1"/>
  <c r="H159" i="61"/>
  <c r="T44" i="85"/>
  <c r="V44" s="1"/>
  <c r="P324" i="84"/>
  <c r="N263"/>
  <c r="G263" s="1"/>
  <c r="C188" i="61"/>
  <c r="H188" s="1"/>
  <c r="M22" i="85"/>
  <c r="M25" s="1"/>
  <c r="T24"/>
  <c r="V24" s="1"/>
  <c r="D32" i="65"/>
  <c r="J47" i="85"/>
  <c r="J52" s="1"/>
  <c r="X52" s="1"/>
  <c r="T46"/>
  <c r="Y52"/>
  <c r="I8" i="69"/>
  <c r="I33" s="1"/>
  <c r="H13"/>
  <c r="D32" i="61"/>
  <c r="D13" i="68" s="1"/>
  <c r="E113" i="76"/>
  <c r="H113" i="61"/>
  <c r="G269" i="84"/>
  <c r="G270" s="1"/>
  <c r="Q32" i="85"/>
  <c r="D149" i="61"/>
  <c r="C118"/>
  <c r="D116"/>
  <c r="I13" i="68" s="1"/>
  <c r="M30" i="85"/>
  <c r="M31" s="1"/>
  <c r="C25" i="75"/>
  <c r="R25" s="1"/>
  <c r="H165" i="61"/>
  <c r="Q324" i="84"/>
  <c r="Q325" s="1"/>
  <c r="I93" i="78"/>
  <c r="J93" s="1"/>
  <c r="H62" i="61"/>
  <c r="E62" i="76"/>
  <c r="H67" i="61"/>
  <c r="E67" i="76"/>
  <c r="H21" i="61"/>
  <c r="E21" i="76"/>
  <c r="H22" i="61"/>
  <c r="E22" i="76"/>
  <c r="K283" i="84"/>
  <c r="K284" s="1"/>
  <c r="M40" i="85"/>
  <c r="H282" i="84"/>
  <c r="H49" i="61"/>
  <c r="E49" i="76"/>
  <c r="H28" i="61"/>
  <c r="E28" i="76"/>
  <c r="C59" i="65"/>
  <c r="D58"/>
  <c r="D59" i="61"/>
  <c r="C26" i="85"/>
  <c r="I101" i="84"/>
  <c r="I110" s="1"/>
  <c r="I158" s="1"/>
  <c r="H98"/>
  <c r="K101"/>
  <c r="E26" i="85"/>
  <c r="E29" s="1"/>
  <c r="E125" i="61"/>
  <c r="E123" i="65"/>
  <c r="C125"/>
  <c r="H33" i="61"/>
  <c r="E33" i="76"/>
  <c r="H264" i="84"/>
  <c r="G264" s="1"/>
  <c r="O30" i="85"/>
  <c r="O31" s="1"/>
  <c r="O32" s="1"/>
  <c r="O70" s="1"/>
  <c r="E152" i="61"/>
  <c r="E150" i="65"/>
  <c r="E149" s="1"/>
  <c r="C152"/>
  <c r="E191" i="76"/>
  <c r="H191" i="61"/>
  <c r="D26" i="85"/>
  <c r="D29" s="1"/>
  <c r="J101" i="84"/>
  <c r="E31" i="76"/>
  <c r="H31" i="61"/>
  <c r="E27" i="76"/>
  <c r="H27" i="61"/>
  <c r="F46"/>
  <c r="C46" i="65"/>
  <c r="F44"/>
  <c r="E66" i="76"/>
  <c r="H66" i="61"/>
  <c r="H56"/>
  <c r="E56" i="76"/>
  <c r="D133" i="61"/>
  <c r="C133" i="65"/>
  <c r="D132"/>
  <c r="D109" s="1"/>
  <c r="D176" s="1"/>
  <c r="M92" i="84"/>
  <c r="M97" s="1"/>
  <c r="H22" i="85"/>
  <c r="H25" s="1"/>
  <c r="H32" s="1"/>
  <c r="H70" s="1"/>
  <c r="H72" s="1"/>
  <c r="O97" i="84"/>
  <c r="O110" s="1"/>
  <c r="O158" s="1"/>
  <c r="D65" i="61"/>
  <c r="C65" i="65"/>
  <c r="D64"/>
  <c r="F75" i="61"/>
  <c r="C75" s="1"/>
  <c r="F64"/>
  <c r="F13" i="69" s="1"/>
  <c r="E12" i="61"/>
  <c r="E11" s="1"/>
  <c r="E9" i="68" s="1"/>
  <c r="L271" i="84"/>
  <c r="L319" s="1"/>
  <c r="E31" i="68"/>
  <c r="C31" s="1"/>
  <c r="C84" i="61"/>
  <c r="E51" i="65"/>
  <c r="C52"/>
  <c r="E52" i="61"/>
  <c r="E60" i="76"/>
  <c r="H60" i="61"/>
  <c r="D17"/>
  <c r="C17" i="65"/>
  <c r="H17" s="1"/>
  <c r="D12"/>
  <c r="D11" s="1"/>
  <c r="E35" i="76"/>
  <c r="H35" i="61"/>
  <c r="F58" i="65"/>
  <c r="F61" i="61"/>
  <c r="C61" i="65"/>
  <c r="H61" s="1"/>
  <c r="I30" i="68"/>
  <c r="H30" s="1"/>
  <c r="C189" i="61"/>
  <c r="H20"/>
  <c r="E20" i="76"/>
  <c r="K97" i="84"/>
  <c r="E22" i="85"/>
  <c r="E25" s="1"/>
  <c r="H17" i="70"/>
  <c r="F26"/>
  <c r="M98" i="84"/>
  <c r="M101" s="1"/>
  <c r="G26" i="85"/>
  <c r="G29" s="1"/>
  <c r="G32" s="1"/>
  <c r="G70" s="1"/>
  <c r="G72" s="1"/>
  <c r="N101" i="84"/>
  <c r="N110" s="1"/>
  <c r="N158" s="1"/>
  <c r="E64" i="65"/>
  <c r="C68"/>
  <c r="H68" s="1"/>
  <c r="E68" i="61"/>
  <c r="C185"/>
  <c r="J26" i="68"/>
  <c r="E226" i="61"/>
  <c r="H69"/>
  <c r="E69" i="76"/>
  <c r="H63" i="61"/>
  <c r="E63" i="76"/>
  <c r="H37" i="61"/>
  <c r="E37" i="76"/>
  <c r="F16" i="61"/>
  <c r="C16" i="65"/>
  <c r="F12"/>
  <c r="F11" s="1"/>
  <c r="E116"/>
  <c r="E119" i="61"/>
  <c r="C119" i="65"/>
  <c r="H38" i="61"/>
  <c r="E38" i="76"/>
  <c r="E36"/>
  <c r="H36" i="61"/>
  <c r="E28" i="68"/>
  <c r="C28" s="1"/>
  <c r="C81" i="61"/>
  <c r="E126" i="76"/>
  <c r="H126" i="61"/>
  <c r="E74"/>
  <c r="E224" s="1"/>
  <c r="T27" i="85"/>
  <c r="V27" s="1"/>
  <c r="N32"/>
  <c r="N70" s="1"/>
  <c r="N72" s="1"/>
  <c r="E173" i="76"/>
  <c r="E165" s="1"/>
  <c r="H173" i="61"/>
  <c r="E59"/>
  <c r="E58" s="1"/>
  <c r="E11" i="69" s="1"/>
  <c r="E58" i="65"/>
  <c r="E15" i="76"/>
  <c r="H15" i="61"/>
  <c r="F66" i="77"/>
  <c r="G66" s="1"/>
  <c r="E54" i="76"/>
  <c r="H54" i="61"/>
  <c r="H239" i="65"/>
  <c r="C242"/>
  <c r="H242" s="1"/>
  <c r="I26" i="70"/>
  <c r="J26" s="1"/>
  <c r="C78" i="61"/>
  <c r="D25" i="68"/>
  <c r="C25" s="1"/>
  <c r="E39" i="76"/>
  <c r="H39" i="61"/>
  <c r="H43"/>
  <c r="E43" i="76"/>
  <c r="J109" i="84"/>
  <c r="D30" i="85"/>
  <c r="D31" s="1"/>
  <c r="E186" i="76"/>
  <c r="H186" i="61"/>
  <c r="D27" i="68"/>
  <c r="C27" s="1"/>
  <c r="C80" i="61"/>
  <c r="F226"/>
  <c r="K26" i="68"/>
  <c r="K20" s="1"/>
  <c r="K19" s="1"/>
  <c r="K18" s="1"/>
  <c r="F179" i="61"/>
  <c r="F178" s="1"/>
  <c r="F177" s="1"/>
  <c r="F207" s="1"/>
  <c r="O262" i="84"/>
  <c r="P26" i="85"/>
  <c r="P29" s="1"/>
  <c r="N259" i="84"/>
  <c r="N262" s="1"/>
  <c r="H143" i="61"/>
  <c r="E143" i="76"/>
  <c r="F52" i="61"/>
  <c r="F51" s="1"/>
  <c r="F51" i="65"/>
  <c r="O258" i="84"/>
  <c r="N253"/>
  <c r="N258" s="1"/>
  <c r="P22" i="85"/>
  <c r="P25" s="1"/>
  <c r="E42" i="76"/>
  <c r="H42" i="61"/>
  <c r="H187"/>
  <c r="E187" i="76"/>
  <c r="E18"/>
  <c r="H18" i="61"/>
  <c r="E48"/>
  <c r="E44" i="65"/>
  <c r="C48"/>
  <c r="H48" s="1"/>
  <c r="D83" i="61"/>
  <c r="C83" i="65"/>
  <c r="H83" s="1"/>
  <c r="H185"/>
  <c r="C226"/>
  <c r="H226" s="1"/>
  <c r="H154" i="61"/>
  <c r="E154" i="76"/>
  <c r="C239" i="61"/>
  <c r="D242"/>
  <c r="D30"/>
  <c r="C30" s="1"/>
  <c r="H30" s="1"/>
  <c r="C30" i="65"/>
  <c r="H30" s="1"/>
  <c r="C77" i="61"/>
  <c r="D24" i="68"/>
  <c r="C24" s="1"/>
  <c r="E23" i="76"/>
  <c r="H23" i="61"/>
  <c r="D32" i="68"/>
  <c r="C32" s="1"/>
  <c r="C85" i="61"/>
  <c r="E41"/>
  <c r="C41" s="1"/>
  <c r="C41" i="65"/>
  <c r="H41" s="1"/>
  <c r="H190" i="61"/>
  <c r="E190" i="76"/>
  <c r="P279" i="84"/>
  <c r="P284" s="1"/>
  <c r="P319" s="1"/>
  <c r="Q35" i="85"/>
  <c r="Q37" s="1"/>
  <c r="Q42" s="1"/>
  <c r="N277" i="84"/>
  <c r="D82" i="61"/>
  <c r="C82" i="65"/>
  <c r="H82" s="1"/>
  <c r="H182" i="61"/>
  <c r="E182" i="76"/>
  <c r="V38" i="85"/>
  <c r="V39" s="1"/>
  <c r="E144" i="76"/>
  <c r="H144" i="61"/>
  <c r="E37" i="85"/>
  <c r="E42" s="1"/>
  <c r="J35"/>
  <c r="J37" s="1"/>
  <c r="J42" s="1"/>
  <c r="E31"/>
  <c r="H109" i="84"/>
  <c r="G102"/>
  <c r="G109" s="1"/>
  <c r="G116"/>
  <c r="G118" s="1"/>
  <c r="G123" s="1"/>
  <c r="H118"/>
  <c r="H123" s="1"/>
  <c r="E14" i="76"/>
  <c r="H14" i="61"/>
  <c r="F31" i="77"/>
  <c r="G31" s="1"/>
  <c r="E45" i="76"/>
  <c r="H45" i="61"/>
  <c r="H55"/>
  <c r="E55" i="76"/>
  <c r="M37" i="85"/>
  <c r="D22" i="68"/>
  <c r="F25" i="77"/>
  <c r="G25" s="1"/>
  <c r="E13" i="76"/>
  <c r="H13" i="61"/>
  <c r="D9" i="69"/>
  <c r="G274" i="84"/>
  <c r="H279"/>
  <c r="F223" i="61"/>
  <c r="F23" i="68"/>
  <c r="I14" i="72"/>
  <c r="I15" s="1"/>
  <c r="I37" s="1"/>
  <c r="J9"/>
  <c r="O271" i="84" l="1"/>
  <c r="O319" s="1"/>
  <c r="R24" i="75"/>
  <c r="T24" s="1"/>
  <c r="E110" i="65"/>
  <c r="E112" i="61"/>
  <c r="C110" i="65"/>
  <c r="T47" i="85"/>
  <c r="T52" s="1"/>
  <c r="P325" i="84"/>
  <c r="E188" i="76"/>
  <c r="Q70" i="85"/>
  <c r="Q72" s="1"/>
  <c r="V46"/>
  <c r="V47" s="1"/>
  <c r="V52" s="1"/>
  <c r="S25" i="75"/>
  <c r="F73" i="61"/>
  <c r="F72" s="1"/>
  <c r="F71" s="1"/>
  <c r="F101" s="1"/>
  <c r="E32" i="85"/>
  <c r="E70" s="1"/>
  <c r="E72" s="1"/>
  <c r="K110" i="84"/>
  <c r="K158" s="1"/>
  <c r="J30" i="85"/>
  <c r="J31" s="1"/>
  <c r="S30"/>
  <c r="S35"/>
  <c r="T35" s="1"/>
  <c r="N271" i="84"/>
  <c r="E118" i="76"/>
  <c r="H118" i="61"/>
  <c r="F120"/>
  <c r="F116" i="65"/>
  <c r="F109" s="1"/>
  <c r="F176" s="1"/>
  <c r="F208" s="1"/>
  <c r="C120"/>
  <c r="H120" s="1"/>
  <c r="E77" i="76"/>
  <c r="H77" i="61"/>
  <c r="E239" i="76"/>
  <c r="E242" s="1"/>
  <c r="H239" i="61"/>
  <c r="I64" i="70"/>
  <c r="J64" s="1"/>
  <c r="C242" i="61"/>
  <c r="D29" i="68"/>
  <c r="C29" s="1"/>
  <c r="C82" i="61"/>
  <c r="H85"/>
  <c r="E85" i="76"/>
  <c r="H80" i="61"/>
  <c r="E80" i="76"/>
  <c r="D74" i="61"/>
  <c r="C74" i="65"/>
  <c r="H74" s="1"/>
  <c r="H16"/>
  <c r="C12"/>
  <c r="C17" i="61"/>
  <c r="D12"/>
  <c r="D11" s="1"/>
  <c r="D9" i="68" s="1"/>
  <c r="E51" i="61"/>
  <c r="C52"/>
  <c r="C64" i="65"/>
  <c r="H64" s="1"/>
  <c r="H65"/>
  <c r="H133"/>
  <c r="C132"/>
  <c r="H132" s="1"/>
  <c r="I258" i="84"/>
  <c r="I271" s="1"/>
  <c r="I319" s="1"/>
  <c r="K22" i="85"/>
  <c r="H253" i="84"/>
  <c r="D180" i="61"/>
  <c r="D227" i="65"/>
  <c r="D225" s="1"/>
  <c r="C180"/>
  <c r="D179"/>
  <c r="D178" s="1"/>
  <c r="D177" s="1"/>
  <c r="D207" s="1"/>
  <c r="D208" s="1"/>
  <c r="C46" i="61"/>
  <c r="F44"/>
  <c r="F15" i="68" s="1"/>
  <c r="C150" i="65"/>
  <c r="H152"/>
  <c r="H125"/>
  <c r="C123"/>
  <c r="H123" s="1"/>
  <c r="E26" i="61"/>
  <c r="E25" s="1"/>
  <c r="E25" i="65"/>
  <c r="D58" i="61"/>
  <c r="C59"/>
  <c r="E21" i="68"/>
  <c r="M110" i="84"/>
  <c r="M158" s="1"/>
  <c r="C75" i="65"/>
  <c r="H75" s="1"/>
  <c r="F32"/>
  <c r="F40" i="61"/>
  <c r="F32" s="1"/>
  <c r="F13" i="68" s="1"/>
  <c r="D76" i="61"/>
  <c r="D223" i="65"/>
  <c r="C76"/>
  <c r="C226" i="61"/>
  <c r="H226" s="1"/>
  <c r="H185"/>
  <c r="E185" i="76"/>
  <c r="E226" s="1"/>
  <c r="E64" i="61"/>
  <c r="E13" i="69" s="1"/>
  <c r="C68" i="61"/>
  <c r="F64" i="70"/>
  <c r="H26"/>
  <c r="H84" i="61"/>
  <c r="E84" i="76"/>
  <c r="F26" i="61"/>
  <c r="F25" s="1"/>
  <c r="F11" i="68" s="1"/>
  <c r="F25" i="65"/>
  <c r="H46"/>
  <c r="C44"/>
  <c r="H44" s="1"/>
  <c r="C29" i="85"/>
  <c r="C32" s="1"/>
  <c r="C70" s="1"/>
  <c r="C72" s="1"/>
  <c r="J26"/>
  <c r="J29" s="1"/>
  <c r="H41" i="61"/>
  <c r="E41" i="76"/>
  <c r="C83" i="61"/>
  <c r="D30" i="68"/>
  <c r="C30" s="1"/>
  <c r="N279" i="84"/>
  <c r="N284" s="1"/>
  <c r="G277"/>
  <c r="G279" s="1"/>
  <c r="D22" i="85"/>
  <c r="J97" i="84"/>
  <c r="J110" s="1"/>
  <c r="J158" s="1"/>
  <c r="H92"/>
  <c r="C48" i="61"/>
  <c r="E44"/>
  <c r="E15" i="68" s="1"/>
  <c r="F9" i="69"/>
  <c r="H78" i="61"/>
  <c r="E78" i="76"/>
  <c r="H259" i="84"/>
  <c r="M26" i="85"/>
  <c r="K262" i="84"/>
  <c r="K271" s="1"/>
  <c r="K319" s="1"/>
  <c r="C119" i="61"/>
  <c r="E116"/>
  <c r="J13" i="68" s="1"/>
  <c r="E180" i="61"/>
  <c r="E179" i="65"/>
  <c r="E178" s="1"/>
  <c r="E177" s="1"/>
  <c r="E207" s="1"/>
  <c r="E227"/>
  <c r="E225" s="1"/>
  <c r="E189" i="76"/>
  <c r="H189" i="61"/>
  <c r="F22" i="68"/>
  <c r="C22" s="1"/>
  <c r="F224" i="61"/>
  <c r="F222" s="1"/>
  <c r="F221" s="1"/>
  <c r="F220" s="1"/>
  <c r="E223" i="65"/>
  <c r="E76" i="61"/>
  <c r="C152"/>
  <c r="E150"/>
  <c r="C125"/>
  <c r="E123"/>
  <c r="J15" i="68" s="1"/>
  <c r="H15" s="1"/>
  <c r="E110" i="61"/>
  <c r="C112"/>
  <c r="H59" i="65"/>
  <c r="C58"/>
  <c r="H58" s="1"/>
  <c r="M41" i="85"/>
  <c r="M42" s="1"/>
  <c r="S40"/>
  <c r="P32"/>
  <c r="P70" s="1"/>
  <c r="P72" s="1"/>
  <c r="H26" i="68"/>
  <c r="E50" i="65"/>
  <c r="E81" i="76"/>
  <c r="H81" i="61"/>
  <c r="H119" i="65"/>
  <c r="C16" i="61"/>
  <c r="F12"/>
  <c r="F11" s="1"/>
  <c r="E32" i="65"/>
  <c r="E40" i="61"/>
  <c r="C40" i="65"/>
  <c r="F58" i="61"/>
  <c r="F11" i="69" s="1"/>
  <c r="C61" i="61"/>
  <c r="C26" i="65"/>
  <c r="D25"/>
  <c r="D10" s="1"/>
  <c r="D214" s="1"/>
  <c r="D26" i="61"/>
  <c r="H52" i="65"/>
  <c r="C51"/>
  <c r="D64" i="61"/>
  <c r="D13" i="69" s="1"/>
  <c r="C65" i="61"/>
  <c r="D132"/>
  <c r="C133"/>
  <c r="H101" i="84"/>
  <c r="G98"/>
  <c r="G101" s="1"/>
  <c r="G282"/>
  <c r="G283" s="1"/>
  <c r="H283"/>
  <c r="H284" s="1"/>
  <c r="F50" i="65"/>
  <c r="D50"/>
  <c r="E30" i="76"/>
  <c r="X42" i="85"/>
  <c r="E75" i="76"/>
  <c r="H75" i="61"/>
  <c r="J14" i="72"/>
  <c r="J15" s="1"/>
  <c r="J37" s="1"/>
  <c r="K9"/>
  <c r="H110" i="65" l="1"/>
  <c r="E109"/>
  <c r="E176" s="1"/>
  <c r="E208" s="1"/>
  <c r="T30" i="85"/>
  <c r="V30" s="1"/>
  <c r="V31" s="1"/>
  <c r="C13" i="69"/>
  <c r="S37" i="85"/>
  <c r="N319" i="84"/>
  <c r="S31" i="85"/>
  <c r="D70" i="65"/>
  <c r="F116" i="61"/>
  <c r="C120"/>
  <c r="C15" i="68"/>
  <c r="D79" i="65"/>
  <c r="D224" s="1"/>
  <c r="D222" s="1"/>
  <c r="D221" s="1"/>
  <c r="C116"/>
  <c r="H116" s="1"/>
  <c r="G284" i="84"/>
  <c r="F10" i="65"/>
  <c r="F70" s="1"/>
  <c r="M29" i="85"/>
  <c r="M32" s="1"/>
  <c r="M70" s="1"/>
  <c r="M72" s="1"/>
  <c r="S26"/>
  <c r="H48" i="61"/>
  <c r="E48" i="76"/>
  <c r="E11" i="68"/>
  <c r="H150" i="65"/>
  <c r="C149"/>
  <c r="H149" s="1"/>
  <c r="C179"/>
  <c r="C227"/>
  <c r="H180"/>
  <c r="K25" i="85"/>
  <c r="K32" s="1"/>
  <c r="K70" s="1"/>
  <c r="K72" s="1"/>
  <c r="S22"/>
  <c r="H82" i="61"/>
  <c r="E82" i="76"/>
  <c r="C50" i="65"/>
  <c r="H51"/>
  <c r="J9" i="68"/>
  <c r="E109" i="61"/>
  <c r="C32" i="65"/>
  <c r="H32" s="1"/>
  <c r="H40"/>
  <c r="E16" i="76"/>
  <c r="F82" i="77"/>
  <c r="G82" s="1"/>
  <c r="H16" i="61"/>
  <c r="C12"/>
  <c r="S41" i="85"/>
  <c r="T40"/>
  <c r="C110" i="61"/>
  <c r="H112"/>
  <c r="E112" i="76"/>
  <c r="E110" s="1"/>
  <c r="J9" i="69"/>
  <c r="E149" i="61"/>
  <c r="J22" i="85"/>
  <c r="J25" s="1"/>
  <c r="J32" s="1"/>
  <c r="J70" s="1"/>
  <c r="D25"/>
  <c r="D32" s="1"/>
  <c r="D70" s="1"/>
  <c r="D72" s="1"/>
  <c r="E68" i="76"/>
  <c r="H68" i="61"/>
  <c r="H76" i="65"/>
  <c r="C223"/>
  <c r="H223" s="1"/>
  <c r="H258" i="84"/>
  <c r="G253"/>
  <c r="G258" s="1"/>
  <c r="E50" i="61"/>
  <c r="E9" i="69"/>
  <c r="F20" i="68"/>
  <c r="F19" s="1"/>
  <c r="F18" s="1"/>
  <c r="E10" i="65"/>
  <c r="E133" i="76"/>
  <c r="E132" s="1"/>
  <c r="H133" i="61"/>
  <c r="C132"/>
  <c r="H26" i="65"/>
  <c r="C25"/>
  <c r="H25" s="1"/>
  <c r="E94"/>
  <c r="E215"/>
  <c r="H152" i="61"/>
  <c r="C150"/>
  <c r="E152" i="76"/>
  <c r="E150" s="1"/>
  <c r="E149" s="1"/>
  <c r="E65"/>
  <c r="C64" i="61"/>
  <c r="H65"/>
  <c r="C26"/>
  <c r="D25"/>
  <c r="F9" i="68"/>
  <c r="C9" s="1"/>
  <c r="F10" i="61"/>
  <c r="C123"/>
  <c r="E125" i="76"/>
  <c r="E123" s="1"/>
  <c r="H125" i="61"/>
  <c r="E119" i="76"/>
  <c r="H119" i="61"/>
  <c r="H64" i="70"/>
  <c r="F79"/>
  <c r="H79" s="1"/>
  <c r="D11" i="69"/>
  <c r="D50" i="61"/>
  <c r="D215" s="1"/>
  <c r="E46" i="76"/>
  <c r="H46" i="61"/>
  <c r="C44"/>
  <c r="I21" i="68"/>
  <c r="D179" i="61"/>
  <c r="D178" s="1"/>
  <c r="D177" s="1"/>
  <c r="D207" s="1"/>
  <c r="C180"/>
  <c r="D227"/>
  <c r="D225" s="1"/>
  <c r="E52" i="76"/>
  <c r="E51" s="1"/>
  <c r="C51" i="61"/>
  <c r="H52"/>
  <c r="F133" i="77"/>
  <c r="G133" s="1"/>
  <c r="H12" i="65"/>
  <c r="C11"/>
  <c r="H242" i="61"/>
  <c r="I79" i="70"/>
  <c r="J79" s="1"/>
  <c r="F8" i="69"/>
  <c r="D215" i="65"/>
  <c r="D213" s="1"/>
  <c r="D94"/>
  <c r="E32" i="61"/>
  <c r="E13" i="68" s="1"/>
  <c r="C13" s="1"/>
  <c r="C40" i="61"/>
  <c r="E227"/>
  <c r="E225" s="1"/>
  <c r="E179"/>
  <c r="E178" s="1"/>
  <c r="E177" s="1"/>
  <c r="E207" s="1"/>
  <c r="J21" i="68"/>
  <c r="J20" s="1"/>
  <c r="J19" s="1"/>
  <c r="J18" s="1"/>
  <c r="F94" i="65"/>
  <c r="F215"/>
  <c r="I16" i="68"/>
  <c r="D109" i="61"/>
  <c r="D176" s="1"/>
  <c r="H61"/>
  <c r="E61" i="76"/>
  <c r="E223" i="61"/>
  <c r="E222" s="1"/>
  <c r="E221" s="1"/>
  <c r="E220" s="1"/>
  <c r="E73"/>
  <c r="E72" s="1"/>
  <c r="E71" s="1"/>
  <c r="E101" s="1"/>
  <c r="E23" i="68"/>
  <c r="E20" s="1"/>
  <c r="E19" s="1"/>
  <c r="E18" s="1"/>
  <c r="E35" s="1"/>
  <c r="H262" i="84"/>
  <c r="G259"/>
  <c r="G262" s="1"/>
  <c r="G92"/>
  <c r="G97" s="1"/>
  <c r="G110" s="1"/>
  <c r="G158" s="1"/>
  <c r="H97"/>
  <c r="H110" s="1"/>
  <c r="H158" s="1"/>
  <c r="H83" i="61"/>
  <c r="E83" i="76"/>
  <c r="D223" i="61"/>
  <c r="D23" i="68"/>
  <c r="C76" i="61"/>
  <c r="E59" i="76"/>
  <c r="C58" i="61"/>
  <c r="H59"/>
  <c r="H17"/>
  <c r="E17" i="76"/>
  <c r="F99" i="77"/>
  <c r="G99" s="1"/>
  <c r="D21" i="68"/>
  <c r="C74" i="61"/>
  <c r="D73"/>
  <c r="D72" s="1"/>
  <c r="D71" s="1"/>
  <c r="D101" s="1"/>
  <c r="D224"/>
  <c r="F50"/>
  <c r="F215" s="1"/>
  <c r="V35" i="85"/>
  <c r="X11" s="1"/>
  <c r="T37"/>
  <c r="T31"/>
  <c r="L9" i="72"/>
  <c r="K14"/>
  <c r="K15" s="1"/>
  <c r="K37" s="1"/>
  <c r="E79" i="65" l="1"/>
  <c r="E184" i="64" s="1"/>
  <c r="S42" i="85"/>
  <c r="Y42" s="1"/>
  <c r="E215" i="61"/>
  <c r="D208"/>
  <c r="I38" i="69" s="1"/>
  <c r="D73" i="65"/>
  <c r="D72" s="1"/>
  <c r="D71" s="1"/>
  <c r="E44" i="76"/>
  <c r="D184" i="64"/>
  <c r="D227" s="1"/>
  <c r="D225" s="1"/>
  <c r="D221" s="1"/>
  <c r="F8" i="68"/>
  <c r="F33" s="1"/>
  <c r="E58" i="76"/>
  <c r="C23" i="68"/>
  <c r="J35"/>
  <c r="F79" i="65"/>
  <c r="F214"/>
  <c r="F213" s="1"/>
  <c r="E120" i="76"/>
  <c r="E116" s="1"/>
  <c r="E109" s="1"/>
  <c r="E176" s="1"/>
  <c r="H120" i="61"/>
  <c r="X32" i="85"/>
  <c r="D222" i="61"/>
  <c r="D221" s="1"/>
  <c r="D220" s="1"/>
  <c r="C109" i="65"/>
  <c r="C116" i="61"/>
  <c r="H116" s="1"/>
  <c r="E176"/>
  <c r="E208" s="1"/>
  <c r="J38" i="69" s="1"/>
  <c r="K13" i="68"/>
  <c r="F109" i="61"/>
  <c r="F176" s="1"/>
  <c r="F208" s="1"/>
  <c r="K38" i="69" s="1"/>
  <c r="H16" i="68"/>
  <c r="I8"/>
  <c r="H40" i="61"/>
  <c r="E40" i="76"/>
  <c r="E32" s="1"/>
  <c r="C32" i="61"/>
  <c r="F34" i="69"/>
  <c r="K34"/>
  <c r="F33"/>
  <c r="L321" i="84"/>
  <c r="L322" s="1"/>
  <c r="C10" i="75"/>
  <c r="H44" i="61"/>
  <c r="L324" i="84"/>
  <c r="L325" s="1"/>
  <c r="H123" i="61"/>
  <c r="C21" i="75"/>
  <c r="D10" i="61"/>
  <c r="D11" i="68"/>
  <c r="H150" i="61"/>
  <c r="C23" i="75"/>
  <c r="C149" i="61"/>
  <c r="H149" s="1"/>
  <c r="O324" i="84"/>
  <c r="O325" s="1"/>
  <c r="I43" i="78"/>
  <c r="J43" s="1"/>
  <c r="V40" i="85"/>
  <c r="V41" s="1"/>
  <c r="T41"/>
  <c r="T42" s="1"/>
  <c r="F136" i="77"/>
  <c r="G136" s="1"/>
  <c r="H12" i="61"/>
  <c r="C11"/>
  <c r="J8" i="68"/>
  <c r="H9"/>
  <c r="H50" i="65"/>
  <c r="C215"/>
  <c r="H215" s="1"/>
  <c r="T26" i="85"/>
  <c r="S29"/>
  <c r="D20" i="68"/>
  <c r="D19" s="1"/>
  <c r="D18" s="1"/>
  <c r="H271" i="84"/>
  <c r="H319" s="1"/>
  <c r="E12" i="76"/>
  <c r="E11" s="1"/>
  <c r="C73" i="61"/>
  <c r="C224"/>
  <c r="H224" s="1"/>
  <c r="E74" i="76"/>
  <c r="H74" i="61"/>
  <c r="I20" i="68"/>
  <c r="I19" s="1"/>
  <c r="I18" s="1"/>
  <c r="H21"/>
  <c r="H20" s="1"/>
  <c r="H19" s="1"/>
  <c r="H18" s="1"/>
  <c r="H64" i="61"/>
  <c r="P321" i="84"/>
  <c r="P322" s="1"/>
  <c r="C13" i="75"/>
  <c r="E88" i="65"/>
  <c r="E87" s="1"/>
  <c r="E86" s="1"/>
  <c r="E231"/>
  <c r="E229" s="1"/>
  <c r="E228" s="1"/>
  <c r="E199" i="64"/>
  <c r="F35" i="68"/>
  <c r="K35"/>
  <c r="J8" i="69"/>
  <c r="H9"/>
  <c r="H8" s="1"/>
  <c r="H110" i="61"/>
  <c r="C18" i="75"/>
  <c r="I324" i="84"/>
  <c r="I325" s="1"/>
  <c r="G271"/>
  <c r="G319" s="1"/>
  <c r="O321"/>
  <c r="O322" s="1"/>
  <c r="H58" i="61"/>
  <c r="C12" i="75"/>
  <c r="F88" i="65"/>
  <c r="F87" s="1"/>
  <c r="F86" s="1"/>
  <c r="F199" i="64"/>
  <c r="F231" i="65"/>
  <c r="F229" s="1"/>
  <c r="F228" s="1"/>
  <c r="D199" i="64"/>
  <c r="D231" i="65"/>
  <c r="D229" s="1"/>
  <c r="D228" s="1"/>
  <c r="D220" s="1"/>
  <c r="C94"/>
  <c r="D88"/>
  <c r="D87" s="1"/>
  <c r="D86" s="1"/>
  <c r="H51" i="61"/>
  <c r="C50"/>
  <c r="C11" i="75"/>
  <c r="N321" i="84"/>
  <c r="N322" s="1"/>
  <c r="F70" i="61"/>
  <c r="F102" s="1"/>
  <c r="F38" i="69" s="1"/>
  <c r="M324" i="84"/>
  <c r="M325" s="1"/>
  <c r="H132" i="61"/>
  <c r="C22" i="75"/>
  <c r="E70" i="65"/>
  <c r="E214"/>
  <c r="E213" s="1"/>
  <c r="T22" i="85"/>
  <c r="S25"/>
  <c r="H179" i="65"/>
  <c r="C178"/>
  <c r="C21" i="68"/>
  <c r="E8"/>
  <c r="H76" i="61"/>
  <c r="E76" i="76"/>
  <c r="C223" i="61"/>
  <c r="C10" i="65"/>
  <c r="H11"/>
  <c r="H180" i="61"/>
  <c r="C179"/>
  <c r="E180" i="76"/>
  <c r="C227" i="61"/>
  <c r="C11" i="69"/>
  <c r="D8"/>
  <c r="E26" i="76"/>
  <c r="E25" s="1"/>
  <c r="H26" i="61"/>
  <c r="C25"/>
  <c r="E8" i="69"/>
  <c r="C9"/>
  <c r="C225" i="65"/>
  <c r="H225" s="1"/>
  <c r="H227"/>
  <c r="E64" i="76"/>
  <c r="E10" i="61"/>
  <c r="V37" i="85"/>
  <c r="L14" i="72"/>
  <c r="L15" s="1"/>
  <c r="L37" s="1"/>
  <c r="M9"/>
  <c r="E224" i="65" l="1"/>
  <c r="E222" s="1"/>
  <c r="E221" s="1"/>
  <c r="E220" s="1"/>
  <c r="E73"/>
  <c r="E72" s="1"/>
  <c r="E71" s="1"/>
  <c r="E101" s="1"/>
  <c r="E102" s="1"/>
  <c r="D101"/>
  <c r="D102" s="1"/>
  <c r="C20" i="68"/>
  <c r="C19" s="1"/>
  <c r="C18" s="1"/>
  <c r="H35" s="1"/>
  <c r="E50" i="76"/>
  <c r="E215" s="1"/>
  <c r="E245" s="1"/>
  <c r="D179" i="64"/>
  <c r="D178" s="1"/>
  <c r="D177" s="1"/>
  <c r="S32" i="85"/>
  <c r="S70" s="1"/>
  <c r="F37" i="69"/>
  <c r="F39" s="1"/>
  <c r="V42" i="85"/>
  <c r="C20" i="75"/>
  <c r="R20" s="1"/>
  <c r="T20" s="1"/>
  <c r="C109" i="61"/>
  <c r="H109" s="1"/>
  <c r="D35" i="68"/>
  <c r="F184" i="64"/>
  <c r="C184" s="1"/>
  <c r="F73" i="65"/>
  <c r="F72" s="1"/>
  <c r="F71" s="1"/>
  <c r="F101" s="1"/>
  <c r="F102" s="1"/>
  <c r="F224"/>
  <c r="F222" s="1"/>
  <c r="F221" s="1"/>
  <c r="F220" s="1"/>
  <c r="C79"/>
  <c r="E10" i="76"/>
  <c r="E214" s="1"/>
  <c r="K324" i="84"/>
  <c r="K325" s="1"/>
  <c r="H109" i="65"/>
  <c r="C176"/>
  <c r="K8" i="68"/>
  <c r="H13"/>
  <c r="H8" s="1"/>
  <c r="H33" s="1"/>
  <c r="F214" i="61"/>
  <c r="F213" s="1"/>
  <c r="C178"/>
  <c r="H179"/>
  <c r="H223"/>
  <c r="C222"/>
  <c r="J34" i="68"/>
  <c r="E33"/>
  <c r="S22" i="75"/>
  <c r="R22"/>
  <c r="U22" s="1"/>
  <c r="R11"/>
  <c r="S11"/>
  <c r="S18"/>
  <c r="R18"/>
  <c r="T18" s="1"/>
  <c r="D214" i="61"/>
  <c r="D213" s="1"/>
  <c r="D70"/>
  <c r="D102" s="1"/>
  <c r="D38" i="69" s="1"/>
  <c r="I33" i="68"/>
  <c r="I37" i="69" s="1"/>
  <c r="I39" s="1"/>
  <c r="J321" i="84"/>
  <c r="J322" s="1"/>
  <c r="C8" i="75"/>
  <c r="H25" i="61"/>
  <c r="D34" i="69"/>
  <c r="I34"/>
  <c r="D33"/>
  <c r="E227" i="76"/>
  <c r="E225" s="1"/>
  <c r="E179"/>
  <c r="E178" s="1"/>
  <c r="E177" s="1"/>
  <c r="E207" s="1"/>
  <c r="E208" s="1"/>
  <c r="C70" i="65"/>
  <c r="C214"/>
  <c r="H10"/>
  <c r="D194" i="64"/>
  <c r="D193" s="1"/>
  <c r="D192" s="1"/>
  <c r="D234"/>
  <c r="D232" s="1"/>
  <c r="D228" s="1"/>
  <c r="D220" s="1"/>
  <c r="C199"/>
  <c r="R12" i="75"/>
  <c r="T12" s="1"/>
  <c r="S12"/>
  <c r="E34" i="69"/>
  <c r="J33"/>
  <c r="C72" i="61"/>
  <c r="H73"/>
  <c r="C10"/>
  <c r="C7" i="75"/>
  <c r="H11" i="61"/>
  <c r="I321" i="84"/>
  <c r="I322" s="1"/>
  <c r="D8" i="68"/>
  <c r="C11"/>
  <c r="C8" s="1"/>
  <c r="E33" i="69"/>
  <c r="J34"/>
  <c r="H104" i="76"/>
  <c r="E223"/>
  <c r="H178" i="65"/>
  <c r="C177"/>
  <c r="H33" i="69"/>
  <c r="E234" i="64"/>
  <c r="E232" s="1"/>
  <c r="E228" s="1"/>
  <c r="E194"/>
  <c r="E193" s="1"/>
  <c r="E192" s="1"/>
  <c r="T29" i="85"/>
  <c r="V26"/>
  <c r="V29" s="1"/>
  <c r="E34" i="68"/>
  <c r="J33"/>
  <c r="S10" i="75"/>
  <c r="R10"/>
  <c r="E179" i="64"/>
  <c r="E178" s="1"/>
  <c r="E177" s="1"/>
  <c r="E227"/>
  <c r="E225" s="1"/>
  <c r="E221" s="1"/>
  <c r="I35" i="68"/>
  <c r="E70" i="61"/>
  <c r="E102" s="1"/>
  <c r="E38" i="69" s="1"/>
  <c r="E214" i="61"/>
  <c r="E213" s="1"/>
  <c r="H227"/>
  <c r="C225"/>
  <c r="H225" s="1"/>
  <c r="V22" i="85"/>
  <c r="V25" s="1"/>
  <c r="T25"/>
  <c r="H50" i="61"/>
  <c r="C215"/>
  <c r="C88" i="65"/>
  <c r="C231"/>
  <c r="H94"/>
  <c r="F234" i="64"/>
  <c r="F232" s="1"/>
  <c r="F228" s="1"/>
  <c r="F194"/>
  <c r="F193" s="1"/>
  <c r="F192" s="1"/>
  <c r="S13" i="75"/>
  <c r="R13"/>
  <c r="T13" s="1"/>
  <c r="E73" i="76"/>
  <c r="E72" s="1"/>
  <c r="E71" s="1"/>
  <c r="E101" s="1"/>
  <c r="E224"/>
  <c r="S23" i="75"/>
  <c r="R23"/>
  <c r="T23" s="1"/>
  <c r="R21"/>
  <c r="T21" s="1"/>
  <c r="S21"/>
  <c r="K321" i="84"/>
  <c r="K322" s="1"/>
  <c r="C9" i="75"/>
  <c r="H32" i="61"/>
  <c r="C8" i="69"/>
  <c r="N9" i="72"/>
  <c r="M14"/>
  <c r="M15" s="1"/>
  <c r="M37" s="1"/>
  <c r="T22" i="75" l="1"/>
  <c r="H215" i="61"/>
  <c r="I189" i="117"/>
  <c r="C176" i="61"/>
  <c r="C35" i="68"/>
  <c r="E213" i="76"/>
  <c r="Y32" i="85"/>
  <c r="S20" i="75"/>
  <c r="D207" i="64"/>
  <c r="D208" s="1"/>
  <c r="C179"/>
  <c r="C178" s="1"/>
  <c r="H184"/>
  <c r="C227"/>
  <c r="C225" s="1"/>
  <c r="E220"/>
  <c r="H176" i="65"/>
  <c r="C73"/>
  <c r="C224"/>
  <c r="H79"/>
  <c r="K33" i="68"/>
  <c r="K37" i="69" s="1"/>
  <c r="K39" s="1"/>
  <c r="F34" i="68"/>
  <c r="K34"/>
  <c r="F179" i="64"/>
  <c r="F178" s="1"/>
  <c r="F177" s="1"/>
  <c r="F207" s="1"/>
  <c r="F208" s="1"/>
  <c r="F227"/>
  <c r="F225" s="1"/>
  <c r="F221" s="1"/>
  <c r="F220" s="1"/>
  <c r="V32" i="85"/>
  <c r="V70" s="1"/>
  <c r="T32"/>
  <c r="T70" s="1"/>
  <c r="E70" i="76"/>
  <c r="E102" s="1"/>
  <c r="I103" s="1"/>
  <c r="C33" i="69"/>
  <c r="H34"/>
  <c r="C229" i="65"/>
  <c r="H231"/>
  <c r="C207"/>
  <c r="H177"/>
  <c r="C221" i="61"/>
  <c r="H222"/>
  <c r="C214"/>
  <c r="C70"/>
  <c r="H10"/>
  <c r="H199" i="64"/>
  <c r="C234"/>
  <c r="C194"/>
  <c r="C177" i="61"/>
  <c r="C26" i="75"/>
  <c r="H178" i="61"/>
  <c r="H37" i="69"/>
  <c r="J37"/>
  <c r="J39" s="1"/>
  <c r="R9" i="75"/>
  <c r="T9" s="1"/>
  <c r="S9"/>
  <c r="D34" i="68"/>
  <c r="I34"/>
  <c r="D33"/>
  <c r="D37" i="69" s="1"/>
  <c r="D39" s="1"/>
  <c r="R7" i="75"/>
  <c r="T7" s="1"/>
  <c r="S7"/>
  <c r="H72" i="61"/>
  <c r="C14" i="75"/>
  <c r="C71" i="61"/>
  <c r="H70" i="65"/>
  <c r="R8" i="75"/>
  <c r="T8" s="1"/>
  <c r="S8"/>
  <c r="C34" i="69"/>
  <c r="E222" i="76"/>
  <c r="E221" s="1"/>
  <c r="E37" i="69"/>
  <c r="E39" s="1"/>
  <c r="H88" i="65"/>
  <c r="C87"/>
  <c r="C33" i="68"/>
  <c r="C34"/>
  <c r="H34"/>
  <c r="H214" i="65"/>
  <c r="C213"/>
  <c r="H213" s="1"/>
  <c r="E207" i="64"/>
  <c r="E208" s="1"/>
  <c r="O9" i="72"/>
  <c r="N14"/>
  <c r="N15" s="1"/>
  <c r="N37" s="1"/>
  <c r="I188" i="117" l="1"/>
  <c r="I187" s="1"/>
  <c r="H176" i="61"/>
  <c r="H227" i="64"/>
  <c r="H179"/>
  <c r="C37" i="69"/>
  <c r="C222" i="65"/>
  <c r="H224"/>
  <c r="H73"/>
  <c r="C72"/>
  <c r="E220" i="76"/>
  <c r="E244"/>
  <c r="R26" i="75"/>
  <c r="S26"/>
  <c r="C28"/>
  <c r="R28" s="1"/>
  <c r="H207" i="65"/>
  <c r="C208"/>
  <c r="H208" s="1"/>
  <c r="R14" i="75"/>
  <c r="C16"/>
  <c r="S14"/>
  <c r="C232" i="64"/>
  <c r="H234"/>
  <c r="C213" i="61"/>
  <c r="H213" s="1"/>
  <c r="H214"/>
  <c r="C101"/>
  <c r="H71"/>
  <c r="F71" i="85"/>
  <c r="C193" i="64"/>
  <c r="H194"/>
  <c r="H70" i="61"/>
  <c r="H221"/>
  <c r="C220"/>
  <c r="H220" s="1"/>
  <c r="H229" i="65"/>
  <c r="C228"/>
  <c r="H228" s="1"/>
  <c r="C86"/>
  <c r="H86" s="1"/>
  <c r="H87"/>
  <c r="C207" i="61"/>
  <c r="H177"/>
  <c r="O71" i="85"/>
  <c r="C177" i="64"/>
  <c r="H178"/>
  <c r="C221"/>
  <c r="H225"/>
  <c r="P9" i="72"/>
  <c r="O14"/>
  <c r="O15" s="1"/>
  <c r="O37" s="1"/>
  <c r="G187" i="117" l="1"/>
  <c r="C71" i="65"/>
  <c r="H72"/>
  <c r="C221"/>
  <c r="H222"/>
  <c r="J71" i="85"/>
  <c r="J72" s="1"/>
  <c r="F72"/>
  <c r="C29" i="75"/>
  <c r="R16"/>
  <c r="C192" i="64"/>
  <c r="H192" s="1"/>
  <c r="H193"/>
  <c r="H207" i="61"/>
  <c r="C208"/>
  <c r="S71" i="85"/>
  <c r="O72"/>
  <c r="C102" i="61"/>
  <c r="H101"/>
  <c r="H232" i="64"/>
  <c r="C228"/>
  <c r="H228" s="1"/>
  <c r="H177"/>
  <c r="H221"/>
  <c r="P14" i="72"/>
  <c r="P15" s="1"/>
  <c r="P37" s="1"/>
  <c r="Q9"/>
  <c r="H71" i="65" l="1"/>
  <c r="C101"/>
  <c r="H221"/>
  <c r="C220"/>
  <c r="H220" s="1"/>
  <c r="C220" i="64"/>
  <c r="H220" s="1"/>
  <c r="G50" i="61"/>
  <c r="G44"/>
  <c r="G72"/>
  <c r="H102"/>
  <c r="G87"/>
  <c r="G32"/>
  <c r="G10"/>
  <c r="G64"/>
  <c r="C38" i="69"/>
  <c r="C39" s="1"/>
  <c r="G102" i="61"/>
  <c r="G86"/>
  <c r="G51"/>
  <c r="G11"/>
  <c r="G58"/>
  <c r="G17"/>
  <c r="G25"/>
  <c r="J74" i="85"/>
  <c r="J75" s="1"/>
  <c r="G71" i="61"/>
  <c r="H103"/>
  <c r="G70"/>
  <c r="G207"/>
  <c r="G109"/>
  <c r="G208"/>
  <c r="G114"/>
  <c r="H208"/>
  <c r="G150"/>
  <c r="G192"/>
  <c r="S74" i="85"/>
  <c r="G132" i="61"/>
  <c r="G176"/>
  <c r="G123"/>
  <c r="G149"/>
  <c r="G178"/>
  <c r="G159"/>
  <c r="G116"/>
  <c r="G165"/>
  <c r="G193"/>
  <c r="G110"/>
  <c r="H38" i="69"/>
  <c r="H39" s="1"/>
  <c r="G177" i="61"/>
  <c r="S72" i="85"/>
  <c r="T71"/>
  <c r="C30" i="75"/>
  <c r="R30" s="1"/>
  <c r="R29"/>
  <c r="G101" i="61"/>
  <c r="C207" i="64"/>
  <c r="Q14" i="72"/>
  <c r="Q15" s="1"/>
  <c r="Q37" s="1"/>
  <c r="R9"/>
  <c r="C102" i="65" l="1"/>
  <c r="H102" s="1"/>
  <c r="H101"/>
  <c r="V71" i="85"/>
  <c r="V72" s="1"/>
  <c r="T72"/>
  <c r="C208" i="64"/>
  <c r="H208" s="1"/>
  <c r="H207"/>
  <c r="S75" i="85"/>
  <c r="R14" i="72"/>
  <c r="R15" s="1"/>
  <c r="R37" s="1"/>
  <c r="S9"/>
  <c r="T9" l="1"/>
  <c r="S14"/>
  <c r="S15" s="1"/>
  <c r="S37" s="1"/>
  <c r="U9" l="1"/>
  <c r="U14" s="1"/>
  <c r="U15" s="1"/>
  <c r="U37" s="1"/>
  <c r="T14"/>
  <c r="T15" s="1"/>
  <c r="T37" s="1"/>
  <c r="V9" l="1"/>
  <c r="V14" s="1"/>
  <c r="V15" s="1"/>
  <c r="V37" s="1"/>
</calcChain>
</file>

<file path=xl/comments1.xml><?xml version="1.0" encoding="utf-8"?>
<comments xmlns="http://schemas.openxmlformats.org/spreadsheetml/2006/main">
  <authors>
    <author>ecsegi</author>
  </authors>
  <commentList>
    <comment ref="F197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strand támogatás +350000
strand beruházás +350000</t>
        </r>
      </text>
    </comment>
    <comment ref="F198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többlet költség járóbeteg pályázat +8900
követelés Markóth F. kórházzal szemben +8900</t>
        </r>
      </text>
    </comment>
    <comment ref="F199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RNÖ -500
HLSC +1150
HSE +200
Sportszervezetek TAO önerő -1650
Hevesi Polgárvédő +300</t>
        </r>
      </text>
    </comment>
    <comment ref="F200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utak. Külterületi utak -1000
Városüz. Ép.bontás -2000
Városüz. Vis maior keret -1000
előző évi támogatások elsz., kamat +885
Zártkerti pályázat tám +2499
DH megelőlegezett pénzek vissza +1200
</t>
        </r>
      </text>
    </comment>
    <comment ref="F202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2% kereset kieg. -866 és -169
ruhapénz csökkentése  -345
bankszámlavezetési hjár. -828 és -161
szakmai szolg. ig. -1456
kisértékű eszközbesz. -800
</t>
        </r>
      </text>
    </comment>
    <comment ref="F203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eszközbeszerzés -4096
2% kerk ieg -413 -81
</t>
        </r>
      </text>
    </comment>
    <comment ref="F205" authorId="0">
      <text>
        <r>
          <rPr>
            <b/>
            <sz val="9"/>
            <color indexed="81"/>
            <rFont val="Tahoma"/>
            <charset val="1"/>
          </rPr>
          <t>ecsegi:</t>
        </r>
        <r>
          <rPr>
            <sz val="9"/>
            <color indexed="81"/>
            <rFont val="Tahoma"/>
            <charset val="1"/>
          </rPr>
          <t xml:space="preserve">
Mösz maradvány elvonás -2000
Önk maradvány elvonás +2000</t>
        </r>
      </text>
    </comment>
    <comment ref="F206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maradvány +523464
eu-s céltartalék +523464
képv tartalék -8000
száll. Céltratalék (agria) -2000
száll. Céltratalék (enefi) -2000
száll. Céltartalék (sport tám) -200-800
szoc felnem használt 50+60+24+120+23</t>
        </r>
      </text>
    </comment>
  </commentList>
</comments>
</file>

<file path=xl/comments2.xml><?xml version="1.0" encoding="utf-8"?>
<comments xmlns="http://schemas.openxmlformats.org/spreadsheetml/2006/main">
  <authors>
    <author>ecsegi</author>
  </authors>
  <commentList>
    <comment ref="AC5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bérrendezés tám</t>
        </r>
      </text>
    </comment>
    <comment ref="X11" authorId="0">
      <text>
        <r>
          <rPr>
            <b/>
            <sz val="9"/>
            <color indexed="81"/>
            <rFont val="Tahoma"/>
            <family val="2"/>
            <charset val="238"/>
          </rPr>
          <t>ecsegi:</t>
        </r>
        <r>
          <rPr>
            <sz val="9"/>
            <color indexed="81"/>
            <rFont val="Tahoma"/>
            <family val="2"/>
            <charset val="238"/>
          </rPr>
          <t xml:space="preserve">
étkeztetés korrekció (étk kieg-4270),
</t>
        </r>
      </text>
    </comment>
  </commentList>
</comments>
</file>

<file path=xl/sharedStrings.xml><?xml version="1.0" encoding="utf-8"?>
<sst xmlns="http://schemas.openxmlformats.org/spreadsheetml/2006/main" count="7903" uniqueCount="1606">
  <si>
    <t>Egyéb működési célú támogatások államháztartáson belülre</t>
  </si>
  <si>
    <t>Egyéb működési célú támogatások államháztartáson kívülre</t>
  </si>
  <si>
    <t>Egyéb felhalmozási célú támogatások államháztartáson belülre</t>
  </si>
  <si>
    <t>4.</t>
  </si>
  <si>
    <t>1.</t>
  </si>
  <si>
    <t>2.</t>
  </si>
  <si>
    <t>3.</t>
  </si>
  <si>
    <t>Megnevezés</t>
  </si>
  <si>
    <t>Sor-
szám</t>
  </si>
  <si>
    <t>12.</t>
  </si>
  <si>
    <t>11.</t>
  </si>
  <si>
    <t>10.</t>
  </si>
  <si>
    <t>9.</t>
  </si>
  <si>
    <t>8.</t>
  </si>
  <si>
    <t>7.</t>
  </si>
  <si>
    <t>6.</t>
  </si>
  <si>
    <t>5.</t>
  </si>
  <si>
    <t>Sor-szám</t>
  </si>
  <si>
    <t>Összesen</t>
  </si>
  <si>
    <t>-</t>
  </si>
  <si>
    <t>IV.</t>
  </si>
  <si>
    <t>III.</t>
  </si>
  <si>
    <t>II.</t>
  </si>
  <si>
    <t>I.</t>
  </si>
  <si>
    <t>Települési önkormányzatok muzeális intézményi feladatainak támogatása</t>
  </si>
  <si>
    <t>A települési önkormányzatok helyi közösségi közlekedésének támogatása</t>
  </si>
  <si>
    <t>Lakott külterülettel kapcsolatos feladatok támogatása</t>
  </si>
  <si>
    <t>Üdülőhelyi feladatok támogatása</t>
  </si>
  <si>
    <t>Önkormányzati feladatellátást szolgáló fejlesztések</t>
  </si>
  <si>
    <t>Ózdi martinsalak felhasználása miatt kárt szenvedett lakóépületek tulajdonosainak kártalanítása</t>
  </si>
  <si>
    <t>Kompok, révek fenntartásának, felújításának támogatása</t>
  </si>
  <si>
    <t>Lakossági víz- és csatornaszolgáltatás támogatása</t>
  </si>
  <si>
    <t>23.</t>
  </si>
  <si>
    <t>22.</t>
  </si>
  <si>
    <t>21.</t>
  </si>
  <si>
    <t>20.</t>
  </si>
  <si>
    <t>19.</t>
  </si>
  <si>
    <t>VIII.</t>
  </si>
  <si>
    <t>18.</t>
  </si>
  <si>
    <t>17.</t>
  </si>
  <si>
    <t>16.</t>
  </si>
  <si>
    <t>VII.</t>
  </si>
  <si>
    <t>VI.</t>
  </si>
  <si>
    <t>15.</t>
  </si>
  <si>
    <t>14.</t>
  </si>
  <si>
    <t>13.</t>
  </si>
  <si>
    <t xml:space="preserve"> Személyi juttatások</t>
  </si>
  <si>
    <t>1. melléklet</t>
  </si>
  <si>
    <t>BEVÉTELEK</t>
  </si>
  <si>
    <t>Ezer forintban !</t>
  </si>
  <si>
    <t>Bevételi jogcím</t>
  </si>
  <si>
    <t>Kötelező feladatok</t>
  </si>
  <si>
    <t>Önként vállalt feladatok</t>
  </si>
  <si>
    <t>Állami (államigazgatási) feladatok</t>
  </si>
  <si>
    <t>2.1.</t>
  </si>
  <si>
    <t>2.2.</t>
  </si>
  <si>
    <t>2.2.1.</t>
  </si>
  <si>
    <t>2.2.2.</t>
  </si>
  <si>
    <t>3.1.</t>
  </si>
  <si>
    <t>3.2.</t>
  </si>
  <si>
    <t>3.3.</t>
  </si>
  <si>
    <t>4.1.</t>
  </si>
  <si>
    <t>4.2.</t>
  </si>
  <si>
    <t>4.3.</t>
  </si>
  <si>
    <t>4.4.</t>
  </si>
  <si>
    <t>4.5.</t>
  </si>
  <si>
    <t>8.1.</t>
  </si>
  <si>
    <t>8.2.</t>
  </si>
  <si>
    <t>8.3.</t>
  </si>
  <si>
    <t>9.1.</t>
  </si>
  <si>
    <t>9.2.</t>
  </si>
  <si>
    <t>9.3.</t>
  </si>
  <si>
    <t>9.4.</t>
  </si>
  <si>
    <t>12.1.</t>
  </si>
  <si>
    <t>12.2.</t>
  </si>
  <si>
    <t>13.1.</t>
  </si>
  <si>
    <t>13.2.</t>
  </si>
  <si>
    <t>13.3.</t>
  </si>
  <si>
    <t>15.1.</t>
  </si>
  <si>
    <t>15.2.</t>
  </si>
  <si>
    <t>KIADÁSOK</t>
  </si>
  <si>
    <t>1.1.</t>
  </si>
  <si>
    <t>1.2.</t>
  </si>
  <si>
    <t>2.3.</t>
  </si>
  <si>
    <t>2.4.</t>
  </si>
  <si>
    <t>2.5.</t>
  </si>
  <si>
    <t>2.6.</t>
  </si>
  <si>
    <t>6.1.</t>
  </si>
  <si>
    <t>6.2.</t>
  </si>
  <si>
    <t>KÖLTSÉGVETÉSI BEVÉTELEK ÉS KIADÁSOK EGYENLEGE</t>
  </si>
  <si>
    <t>FINANSZÍROZÁSI CÉLÚ BEVÉTELEK ÉS KIADÁSOK EGYENLEGE</t>
  </si>
  <si>
    <t>Éves engedélyezett létszám előirányzat (fő)</t>
  </si>
  <si>
    <t>Közfoglalkoztatottak létszáma (fő)</t>
  </si>
  <si>
    <t>Helyi önkormányzatok működésének általános támogatása (B111)</t>
  </si>
  <si>
    <t>Települési önkormányzatok egyes köznevelési feladatainak támogatása (B112)</t>
  </si>
  <si>
    <t>Települési önkormányzatok szociális és gyermekjóléti  feladatainak támogatása (B113)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</si>
  <si>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</si>
  <si>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</si>
  <si>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</si>
  <si>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</si>
  <si>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</si>
  <si>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</si>
  <si>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Jövedelemadók (B31)</t>
  </si>
  <si>
    <t>Szociális hozzájárulási adó és járulékok (B32)</t>
  </si>
  <si>
    <t>Bérhez és foglalkoztatáshoz kapcsolódó adók (B33)</t>
  </si>
  <si>
    <t>Vagyoni tipusú adók  (B34)</t>
  </si>
  <si>
    <t>Termékek és szolgáltatások adói (B35)</t>
  </si>
  <si>
    <t>Áru- és készletértékesítés ellenértéke (B401)</t>
  </si>
  <si>
    <t>Szolgáltatások ellenértéke (B402)</t>
  </si>
  <si>
    <t>Közvetített szolgáltatások 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</si>
  <si>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</si>
  <si>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</si>
  <si>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</si>
  <si>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</si>
  <si>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Egyéb pénzügyi műveletek bevételei (B409)</t>
  </si>
  <si>
    <t>Működési célú garancia- és kezességvállalásból származó megtérülések államháztartáson kívülről (B61)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</si>
  <si>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</si>
  <si>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</si>
  <si>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</si>
  <si>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</si>
  <si>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</si>
  <si>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</si>
  <si>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</si>
  <si>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</si>
  <si>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</si>
  <si>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</si>
  <si>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célú garancia- és kezességvállalásból származó megtérülések államháztartáson kívülről (B71)</t>
  </si>
  <si>
    <t>Foglalkoztatottak személyi juttatásai (K11)</t>
  </si>
  <si>
    <t>Külső személyi juttatások (K12)</t>
  </si>
  <si>
    <t>Készletbeszerzés (K31)</t>
  </si>
  <si>
    <t>Kommunikációs szolgáltatások (K32)</t>
  </si>
  <si>
    <t>Szolgáltatási kiadások (K33)</t>
  </si>
  <si>
    <t>Kiküldetések, reklám- és propagandakiadások (K34)</t>
  </si>
  <si>
    <t>Különféle befizetések és egyéb dologi kiadások (K35)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</si>
  <si>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</si>
  <si>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</si>
  <si>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</si>
  <si>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</si>
  <si>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</si>
  <si>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</si>
  <si>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</si>
  <si>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</si>
  <si>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</si>
  <si>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</si>
  <si>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</si>
  <si>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</si>
  <si>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</si>
  <si>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</si>
  <si>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</si>
  <si>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</si>
  <si>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</si>
  <si>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</si>
  <si>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</si>
  <si>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</si>
  <si>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</si>
  <si>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</si>
  <si>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</si>
  <si>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</si>
  <si>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</si>
  <si>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</si>
  <si>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</si>
  <si>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</si>
  <si>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</si>
  <si>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</si>
  <si>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</si>
  <si>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</si>
  <si>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</si>
  <si>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</si>
  <si>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</si>
  <si>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</si>
  <si>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Hitel-, kölcsöntörlesztés államháztartáson kívülre (K911)</t>
  </si>
  <si>
    <t>Belföldi értékpapírok kiadásai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</si>
  <si>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</si>
  <si>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</si>
  <si>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</si>
  <si>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Pénzügyi lízing kiadásai (K917)</t>
  </si>
  <si>
    <t>Központi költségvetés sajátos finanszírozási kiadásai (K918)</t>
  </si>
  <si>
    <t>Külföldi finanszírozás kiadásai (K92)</t>
  </si>
  <si>
    <t>Adóssághoz nem kapcsolódó származékos ügyletek kiadásai (K93)</t>
  </si>
  <si>
    <t>Pénzeszközök betétként elhelyezése (belső finanszírozás) (K916)</t>
  </si>
  <si>
    <t>3.4.</t>
  </si>
  <si>
    <t>3.5.</t>
  </si>
  <si>
    <t>6.3.</t>
  </si>
  <si>
    <t>6.4.</t>
  </si>
  <si>
    <t>6.5.</t>
  </si>
  <si>
    <t>7.1.</t>
  </si>
  <si>
    <t>7.2.</t>
  </si>
  <si>
    <t>7.3.</t>
  </si>
  <si>
    <t>7.4.</t>
  </si>
  <si>
    <t>7.5.</t>
  </si>
  <si>
    <t>2.1.1.</t>
  </si>
  <si>
    <t>2.1.2.</t>
  </si>
  <si>
    <t>2.1.3.</t>
  </si>
  <si>
    <t>2.1.4.</t>
  </si>
  <si>
    <t>2.1.5.</t>
  </si>
  <si>
    <t>2.1.6.</t>
  </si>
  <si>
    <t>12.1.1.</t>
  </si>
  <si>
    <t>12.1.2.</t>
  </si>
  <si>
    <t>12.1.3.</t>
  </si>
  <si>
    <t>12.1.4.</t>
  </si>
  <si>
    <t>12.1.5.</t>
  </si>
  <si>
    <t>12.1.6.</t>
  </si>
  <si>
    <t>12.1.8.</t>
  </si>
  <si>
    <t>12.3.</t>
  </si>
  <si>
    <t>12.1.7.</t>
  </si>
  <si>
    <t>13.1.1.</t>
  </si>
  <si>
    <t>13.1.2.</t>
  </si>
  <si>
    <t>13.1.3.</t>
  </si>
  <si>
    <t>13.1.4.</t>
  </si>
  <si>
    <t>13.1.5.</t>
  </si>
  <si>
    <t>13.1.6.</t>
  </si>
  <si>
    <t>13.1.7.</t>
  </si>
  <si>
    <t>13.1.8.</t>
  </si>
  <si>
    <t>15.1.1.</t>
  </si>
  <si>
    <t>15.1.2.</t>
  </si>
  <si>
    <t>15.1.3.</t>
  </si>
  <si>
    <t>15.1.4.</t>
  </si>
  <si>
    <t>15.1.5.</t>
  </si>
  <si>
    <t>15.1.6.</t>
  </si>
  <si>
    <t>15.1.7.</t>
  </si>
  <si>
    <t>15.1.8.</t>
  </si>
  <si>
    <t>15.3.</t>
  </si>
  <si>
    <t>4.6.</t>
  </si>
  <si>
    <t>4.7.</t>
  </si>
  <si>
    <t>4.8.</t>
  </si>
  <si>
    <t>4.9.</t>
  </si>
  <si>
    <t>4.10.</t>
  </si>
  <si>
    <t>5.1.</t>
  </si>
  <si>
    <t>5.2.</t>
  </si>
  <si>
    <t>5.3.</t>
  </si>
  <si>
    <t>8.4.</t>
  </si>
  <si>
    <t>8.5.</t>
  </si>
  <si>
    <t>14.1.</t>
  </si>
  <si>
    <t>14.1.1.</t>
  </si>
  <si>
    <t>14.1.2.</t>
  </si>
  <si>
    <t>14.1.3.</t>
  </si>
  <si>
    <t>14.1.4.</t>
  </si>
  <si>
    <t>14.1.5.</t>
  </si>
  <si>
    <t>14.1.6.</t>
  </si>
  <si>
    <t>14.1.7.</t>
  </si>
  <si>
    <t>14.1.8.</t>
  </si>
  <si>
    <t>14.2.</t>
  </si>
  <si>
    <t>14.3.</t>
  </si>
  <si>
    <t>Külföldi finanszírozás bevételei (B82)</t>
  </si>
  <si>
    <t>Adóssághoz nem kapcsolódó származékos ügyletek bevételei (B83)</t>
  </si>
  <si>
    <t>Központi költségvetés sajátos finanszírozási bevételei (B818)</t>
  </si>
  <si>
    <t>Hitel-, kölcsönfelvétel államháztartáson kívülről (B811)</t>
  </si>
  <si>
    <t>Belföldi értékpapírok bevételei (B812)</t>
  </si>
  <si>
    <t>Maradvány igénybevétele (belső finanszírozás)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</si>
  <si>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</si>
  <si>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</si>
  <si>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</si>
  <si>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(belső finanszírozás) (B817)</t>
  </si>
  <si>
    <t>a.</t>
  </si>
  <si>
    <t>b.</t>
  </si>
  <si>
    <t>c.</t>
  </si>
  <si>
    <t>I/2. Munkaadókat terhelő járulékok és szociális hozzájárulási adó (K2)</t>
  </si>
  <si>
    <t>5.4.</t>
  </si>
  <si>
    <t>5.5.</t>
  </si>
  <si>
    <t>5.6.</t>
  </si>
  <si>
    <t>5.7.</t>
  </si>
  <si>
    <t>5.8.</t>
  </si>
  <si>
    <t>6.6.</t>
  </si>
  <si>
    <t>6.7.</t>
  </si>
  <si>
    <t>6.8.</t>
  </si>
  <si>
    <t>6.9.</t>
  </si>
  <si>
    <t>6.10.</t>
  </si>
  <si>
    <t>6.11.</t>
  </si>
  <si>
    <t>6.12.</t>
  </si>
  <si>
    <t>8.6.</t>
  </si>
  <si>
    <t>8.7.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</si>
  <si>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</si>
  <si>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</si>
  <si>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</si>
  <si>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</si>
  <si>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</si>
  <si>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</si>
  <si>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</si>
  <si>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</si>
  <si>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2. táblázat</t>
  </si>
  <si>
    <t>1. táblázat</t>
  </si>
  <si>
    <t>Ezer forintban!</t>
  </si>
  <si>
    <t>3. táblázat</t>
  </si>
  <si>
    <t>4. táblázat</t>
  </si>
  <si>
    <t>5. táblázat</t>
  </si>
  <si>
    <t>Működési célú belső finanszírozási műveletek bevételei [=1. melléklet 1. táblázat 12.1.3.+12.1.7. sor]</t>
  </si>
  <si>
    <t>Működési célú külső finanszírozási műveletek bevételei [=1. melléklet 1. táblázat 12.1.1.+12.1.2.+12.1.4+…+12.1.6.+12.1.8. sor]</t>
  </si>
  <si>
    <t>Működési célú belső finanszírozási műveletek kiadásai (belső finanszírozás) [=1. melléklet 2. táblázat 13.1.6. sor]</t>
  </si>
  <si>
    <t>Működési célú külső finanszírozási műveletek kiadásai [=1. melléklet 2. táblázat 13.1.1.+…+13.1.5.+13.1.7.+13.1.8. sor]</t>
  </si>
  <si>
    <t>Felhalmozási célú belső finanszírozási műveletek kiadásai (belső finanszírozás) [=1. melléklet 2. táblázat 15.1.6. sor]</t>
  </si>
  <si>
    <t>Felhalmozási célú külső finanszírozási műveletek kiadásai [=1. melléklet 2. táblázat 15.1.1.+…+15.1.5.+15.1.7.+15.1.8. sor]</t>
  </si>
  <si>
    <t>Felhalmozási célú belső finanszírozási műveletek bevételei [=1. melléklet 1. táblázat 14.1.3.+14.1.7. sor]</t>
  </si>
  <si>
    <t>Felhalmozási célú külső finanszírozási műveletek bevételei [=1. melléklet 1. táblázat 14.1.1.+14.1.2.+14.1.4+…+14.1.6.+14.1.8. sor]</t>
  </si>
  <si>
    <t>3.1.1.</t>
  </si>
  <si>
    <t>3.1.2.</t>
  </si>
  <si>
    <t>3.2.1.</t>
  </si>
  <si>
    <t>3.2.2.</t>
  </si>
  <si>
    <r>
      <t xml:space="preserve">I. Működési költségvetés bevételei </t>
    </r>
    <r>
      <rPr>
        <b/>
        <i/>
        <sz val="9"/>
        <rFont val="Times New Roman"/>
        <family val="1"/>
        <charset val="238"/>
      </rPr>
      <t>[=2.+...+5.]</t>
    </r>
  </si>
  <si>
    <r>
      <t xml:space="preserve">I/1. Működési célú támogatások államháztartáson belülről (B1) </t>
    </r>
    <r>
      <rPr>
        <b/>
        <i/>
        <sz val="9"/>
        <rFont val="Times New Roman"/>
        <family val="1"/>
        <charset val="238"/>
      </rPr>
      <t>[=2.1.+…+2.6.]</t>
    </r>
  </si>
  <si>
    <r>
      <t xml:space="preserve">Önkormányzatok működési támogatásai (B11) </t>
    </r>
    <r>
      <rPr>
        <i/>
        <sz val="9"/>
        <rFont val="Times New Roman"/>
        <family val="1"/>
        <charset val="238"/>
      </rPr>
      <t>[=2.1.1.+…+2.1.6.]</t>
    </r>
  </si>
  <si>
    <r>
      <t xml:space="preserve">II. Felhalmozási költségvetés bevételei </t>
    </r>
    <r>
      <rPr>
        <b/>
        <i/>
        <sz val="9"/>
        <rFont val="Times New Roman"/>
        <family val="1"/>
        <charset val="238"/>
      </rPr>
      <t>[=7.+…+9.]</t>
    </r>
  </si>
  <si>
    <r>
      <t xml:space="preserve">II/1. Felhalmozási célú támogatások államháztartáson belülről (B2) </t>
    </r>
    <r>
      <rPr>
        <b/>
        <i/>
        <sz val="9"/>
        <rFont val="Times New Roman"/>
        <family val="1"/>
        <charset val="238"/>
      </rPr>
      <t>[=7.1.+…+7.5.]</t>
    </r>
  </si>
  <si>
    <r>
      <t xml:space="preserve">II/2. Felhalmozási bevételek (B5) </t>
    </r>
    <r>
      <rPr>
        <b/>
        <i/>
        <sz val="9"/>
        <rFont val="Times New Roman"/>
        <family val="1"/>
        <charset val="238"/>
      </rPr>
      <t>[=8.1.+…+8.5.]</t>
    </r>
  </si>
  <si>
    <r>
      <t xml:space="preserve">KÖLTSÉGVETÉSI BEVÉTELEK ÖSSZESEN </t>
    </r>
    <r>
      <rPr>
        <b/>
        <i/>
        <sz val="9"/>
        <rFont val="Times New Roman"/>
        <family val="1"/>
        <charset val="238"/>
      </rPr>
      <t>[=1.+6.]</t>
    </r>
  </si>
  <si>
    <r>
      <t xml:space="preserve">III. Működési finanszírozási bevételek (B81) </t>
    </r>
    <r>
      <rPr>
        <b/>
        <i/>
        <sz val="9"/>
        <rFont val="Times New Roman"/>
        <family val="1"/>
        <charset val="238"/>
      </rPr>
      <t>[=12.]</t>
    </r>
  </si>
  <si>
    <r>
      <t xml:space="preserve">IV. Felhalmozási finanszírozási bevételek (B81) </t>
    </r>
    <r>
      <rPr>
        <b/>
        <i/>
        <sz val="9"/>
        <rFont val="Times New Roman"/>
        <family val="1"/>
        <charset val="238"/>
      </rPr>
      <t>[=14.]</t>
    </r>
  </si>
  <si>
    <r>
      <t xml:space="preserve">FINANSZÍROZÁSI BEVÉTELEK ÖSSZESEN (B8) </t>
    </r>
    <r>
      <rPr>
        <b/>
        <i/>
        <sz val="9"/>
        <rFont val="Times New Roman"/>
        <family val="1"/>
        <charset val="238"/>
      </rPr>
      <t>[=11.+13.]</t>
    </r>
  </si>
  <si>
    <r>
      <t xml:space="preserve">BEVÉTELEK MINDÖSSZESEN </t>
    </r>
    <r>
      <rPr>
        <b/>
        <i/>
        <sz val="9"/>
        <rFont val="Times New Roman"/>
        <family val="1"/>
        <charset val="238"/>
      </rPr>
      <t>[=10.+15.]</t>
    </r>
  </si>
  <si>
    <r>
      <t xml:space="preserve">I. Működési költségvetés kiadásai </t>
    </r>
    <r>
      <rPr>
        <b/>
        <i/>
        <sz val="9"/>
        <rFont val="Times New Roman"/>
        <family val="1"/>
        <charset val="238"/>
      </rPr>
      <t>[=2.+...+6.]</t>
    </r>
  </si>
  <si>
    <r>
      <t xml:space="preserve">I/1. Személyi juttatások (K1) </t>
    </r>
    <r>
      <rPr>
        <b/>
        <i/>
        <sz val="9"/>
        <rFont val="Times New Roman"/>
        <family val="1"/>
        <charset val="238"/>
      </rPr>
      <t>[=2.1.+2.2.]</t>
    </r>
  </si>
  <si>
    <r>
      <t xml:space="preserve">I/4. Ellátottak pénzbeli juttatásai (K4) </t>
    </r>
    <r>
      <rPr>
        <b/>
        <i/>
        <sz val="9"/>
        <rFont val="Times New Roman"/>
        <family val="1"/>
        <charset val="238"/>
      </rPr>
      <t>[=5.1.+…+5.8.]</t>
    </r>
  </si>
  <si>
    <r>
      <t xml:space="preserve">II. Felhalmozási költségvetés kiadásai </t>
    </r>
    <r>
      <rPr>
        <b/>
        <i/>
        <sz val="9"/>
        <rFont val="Times New Roman"/>
        <family val="1"/>
        <charset val="238"/>
      </rPr>
      <t>[=8.+…+10.]</t>
    </r>
  </si>
  <si>
    <r>
      <t xml:space="preserve">II/1. Beruházások (K6) </t>
    </r>
    <r>
      <rPr>
        <b/>
        <i/>
        <sz val="9"/>
        <rFont val="Times New Roman"/>
        <family val="1"/>
        <charset val="238"/>
      </rPr>
      <t>[=8.1.+…+8.7.]</t>
    </r>
  </si>
  <si>
    <r>
      <t xml:space="preserve">II/2. Felújítások (K7) </t>
    </r>
    <r>
      <rPr>
        <b/>
        <i/>
        <sz val="9"/>
        <rFont val="Times New Roman"/>
        <family val="1"/>
        <charset val="238"/>
      </rPr>
      <t>[9.1.+…+9.4.]</t>
    </r>
  </si>
  <si>
    <r>
      <t xml:space="preserve">KÖLTSÉGVETÉSI KIADÁSOK ÖSSZESEN </t>
    </r>
    <r>
      <rPr>
        <b/>
        <i/>
        <sz val="9"/>
        <rFont val="Times New Roman"/>
        <family val="1"/>
        <charset val="238"/>
      </rPr>
      <t>[=1.+7.]</t>
    </r>
  </si>
  <si>
    <r>
      <t xml:space="preserve">III. Működési finanszírozási kiadások (K91) </t>
    </r>
    <r>
      <rPr>
        <b/>
        <i/>
        <sz val="9"/>
        <rFont val="Times New Roman"/>
        <family val="1"/>
        <charset val="238"/>
      </rPr>
      <t>[=12.]</t>
    </r>
  </si>
  <si>
    <r>
      <t xml:space="preserve">IV. Felhalmozási finanszírozási kiadások (K91) </t>
    </r>
    <r>
      <rPr>
        <b/>
        <i/>
        <sz val="9"/>
        <rFont val="Times New Roman"/>
        <family val="1"/>
        <charset val="238"/>
      </rPr>
      <t>[=15.]</t>
    </r>
  </si>
  <si>
    <r>
      <t xml:space="preserve">FINANSZÍROZÁSI KIADÁSOK ÖSSZESEN (K9) </t>
    </r>
    <r>
      <rPr>
        <b/>
        <i/>
        <sz val="9"/>
        <rFont val="Times New Roman"/>
        <family val="1"/>
        <charset val="238"/>
      </rPr>
      <t>[=12.+14.]</t>
    </r>
  </si>
  <si>
    <r>
      <t xml:space="preserve">KÖLTSÉGVETÉSI HIÁNY, TÖBBLET (+/-) </t>
    </r>
    <r>
      <rPr>
        <b/>
        <i/>
        <sz val="9"/>
        <rFont val="Times New Roman"/>
        <family val="1"/>
        <charset val="238"/>
      </rPr>
      <t>[=1.1.+1.2.]</t>
    </r>
  </si>
  <si>
    <r>
      <t xml:space="preserve">Működési célú költségvetési hiány, többlet (+/-) </t>
    </r>
    <r>
      <rPr>
        <i/>
        <sz val="9"/>
        <rFont val="Times New Roman"/>
        <family val="1"/>
        <charset val="238"/>
      </rPr>
      <t>[=1. melléklet 1. táblázat 1. sor - 1. melléklet 2. táblázat 1. sor]</t>
    </r>
  </si>
  <si>
    <r>
      <t xml:space="preserve">Felhalmozási célú költségvetési hiány, többlet (+/-) </t>
    </r>
    <r>
      <rPr>
        <i/>
        <sz val="9"/>
        <rFont val="Times New Roman"/>
        <family val="1"/>
        <charset val="238"/>
      </rPr>
      <t>[=1. melléklet 1. táblázat 6. sor - 1. melléklet 2. táblázat 7. sor]</t>
    </r>
  </si>
  <si>
    <r>
      <t xml:space="preserve">FINANSZÍROZÁSI MŰVELETEK EGYENLEGE (+/-) </t>
    </r>
    <r>
      <rPr>
        <b/>
        <i/>
        <sz val="9"/>
        <rFont val="Times New Roman"/>
        <family val="1"/>
        <charset val="238"/>
      </rPr>
      <t>[=2.+3.]</t>
    </r>
  </si>
  <si>
    <r>
      <t xml:space="preserve">Működési finanszírozási műveletek egyenlege (+/-) </t>
    </r>
    <r>
      <rPr>
        <b/>
        <i/>
        <sz val="9"/>
        <rFont val="Times New Roman"/>
        <family val="1"/>
        <charset val="238"/>
      </rPr>
      <t>[=2.1.-2.2.]</t>
    </r>
  </si>
  <si>
    <r>
      <t xml:space="preserve">Működési finanszírozási műveletek bevételei </t>
    </r>
    <r>
      <rPr>
        <i/>
        <sz val="9"/>
        <rFont val="Times New Roman"/>
        <family val="1"/>
        <charset val="238"/>
      </rPr>
      <t>[=2.1.1.+2.1.2.]</t>
    </r>
  </si>
  <si>
    <r>
      <t xml:space="preserve">Működési finanszírozási műveletek kiadásai </t>
    </r>
    <r>
      <rPr>
        <i/>
        <sz val="9"/>
        <rFont val="Times New Roman"/>
        <family val="1"/>
        <charset val="238"/>
      </rPr>
      <t>[=2.2.1.+2.2.2.]</t>
    </r>
  </si>
  <si>
    <r>
      <t xml:space="preserve">Felhalmozási finanszírozási műveletek egyenlege (+/-) </t>
    </r>
    <r>
      <rPr>
        <b/>
        <i/>
        <sz val="9"/>
        <rFont val="Times New Roman"/>
        <family val="1"/>
        <charset val="238"/>
      </rPr>
      <t>[=3.1-3.2.]</t>
    </r>
  </si>
  <si>
    <r>
      <t xml:space="preserve">Felhalmozási finanszírozási műveletek bevételei </t>
    </r>
    <r>
      <rPr>
        <i/>
        <sz val="9"/>
        <rFont val="Times New Roman"/>
        <family val="1"/>
        <charset val="238"/>
      </rPr>
      <t>[=3.1.1.+3.1.2.]</t>
    </r>
  </si>
  <si>
    <r>
      <t xml:space="preserve">Felhalmozási finanszírozási műveletek kiadásai </t>
    </r>
    <r>
      <rPr>
        <i/>
        <sz val="9"/>
        <rFont val="Times New Roman"/>
        <family val="1"/>
        <charset val="238"/>
      </rPr>
      <t>[=3.2.1.+3.2.2.]</t>
    </r>
  </si>
  <si>
    <r>
      <t xml:space="preserve">Bevételi jogcím (rovatszám) </t>
    </r>
    <r>
      <rPr>
        <b/>
        <i/>
        <sz val="9"/>
        <rFont val="Times New Roman"/>
        <family val="1"/>
        <charset val="238"/>
      </rPr>
      <t>[képlet]</t>
    </r>
  </si>
  <si>
    <r>
      <t>Kiadási jogcím (rovatszám)</t>
    </r>
    <r>
      <rPr>
        <b/>
        <i/>
        <sz val="9"/>
        <rFont val="Times New Roman"/>
        <family val="1"/>
        <charset val="238"/>
      </rPr>
      <t xml:space="preserve"> [képlet]</t>
    </r>
  </si>
  <si>
    <r>
      <t>MINDÖSSZESEN LÉTSZÁM (fő)</t>
    </r>
    <r>
      <rPr>
        <b/>
        <i/>
        <sz val="9"/>
        <rFont val="Times New Roman"/>
        <family val="1"/>
        <charset val="238"/>
      </rPr>
      <t xml:space="preserve"> [=1.+2.]</t>
    </r>
  </si>
  <si>
    <t>HEVES VÁROS ÖNKORMÁNYZATA ÉS KÖLTSÉGVETÉSI SZERVEI</t>
  </si>
  <si>
    <t>2.6.a.</t>
  </si>
  <si>
    <t>- ebből: Működési célú  fejezeti kezelésű előirányzatok EU-s programok és azok hazai társfinanszírozása (B16)</t>
  </si>
  <si>
    <t>7.5.a.</t>
  </si>
  <si>
    <r>
      <t xml:space="preserve">KIADÁSOK MINDÖSSZESEN </t>
    </r>
    <r>
      <rPr>
        <b/>
        <i/>
        <sz val="9"/>
        <rFont val="Times New Roman"/>
        <family val="1"/>
        <charset val="238"/>
      </rPr>
      <t>[=11.+16.]</t>
    </r>
  </si>
  <si>
    <t>6.6.a.</t>
  </si>
  <si>
    <t>- ebből: Működési célú  fejezeti kezelésű előirányzatok EU-s programok és azok hazai társfinanszírozása (K506)</t>
  </si>
  <si>
    <t>- ebből: Felhalmozási célú  fejezeti kezelésű előirányzatok EU-s programok és azok hazai társfinanszírozása (B25)</t>
  </si>
  <si>
    <t>10.4.a.</t>
  </si>
  <si>
    <t>- ebből: Felhalmozási célú  fejezeti kezelésű előirányzatok EU-s programok és azok hazai társfinanszírozása (K84)</t>
  </si>
  <si>
    <t>4.a.</t>
  </si>
  <si>
    <t>- ebből: EU-s forrásból finanszírozott támogatással megvalósuló programok, projektek beruházási kiadásai (K6)</t>
  </si>
  <si>
    <r>
      <t xml:space="preserve">I/3. Dologi kiadások (K3) </t>
    </r>
    <r>
      <rPr>
        <b/>
        <i/>
        <sz val="9"/>
        <rFont val="Times New Roman"/>
        <family val="1"/>
        <charset val="238"/>
      </rPr>
      <t>[=4.1.+…+4.5.]</t>
    </r>
  </si>
  <si>
    <t>9.a.</t>
  </si>
  <si>
    <t>- ebből: EU-s forrásból finanszírozott támogatással megvalósuló programok, projektek felújítási kiadásai (K7)</t>
  </si>
  <si>
    <t>3.a.</t>
  </si>
  <si>
    <t>- ebből: EU-s forrásból finanszírozott támogatással megvalósuló programok, projektek járulék kiadásai (K2)</t>
  </si>
  <si>
    <t>- ebből: EU-s forrásból finanszírozott támogatással megvalósuló programok, projektek dologi kiadásai (K3)</t>
  </si>
  <si>
    <t>2.a.</t>
  </si>
  <si>
    <t>- ebből: EU-s forrásból finanszírozott támogatással megvalósuló programok, projektek személyi juttatás kiadásai (K1)</t>
  </si>
  <si>
    <t>1.a.</t>
  </si>
  <si>
    <t>- ebből: EU-s forrásból finanszírozott támogatással megvalósuló programok, projekteklétszáma</t>
  </si>
  <si>
    <t>1.1. melléklet</t>
  </si>
  <si>
    <t>HEVES VÁROS ÖNKORMÁNYZATA</t>
  </si>
  <si>
    <t>1.2. melléklet</t>
  </si>
  <si>
    <t>1.3. melléklet</t>
  </si>
  <si>
    <t>HEVES VÁROSI ÓVODÁK ÉS BÖLCSŐDE KÖZNEVELÉSI INTÉZMÉNY</t>
  </si>
  <si>
    <t>1.4. melléklet</t>
  </si>
  <si>
    <t>HEVESI KULTURÁLIS KÖZPONT</t>
  </si>
  <si>
    <t>6.a.</t>
  </si>
  <si>
    <t>d.</t>
  </si>
  <si>
    <t>e.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</si>
  <si>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</si>
  <si>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</si>
  <si>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</si>
  <si>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</si>
  <si>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</si>
  <si>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</si>
  <si>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</si>
  <si>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</si>
  <si>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r>
      <t xml:space="preserve">Működési költségvetés bevételei </t>
    </r>
    <r>
      <rPr>
        <b/>
        <i/>
        <sz val="9"/>
        <rFont val="Times New Roman"/>
        <family val="1"/>
        <charset val="238"/>
      </rPr>
      <t>[=2.+...+5.]</t>
    </r>
  </si>
  <si>
    <r>
      <t xml:space="preserve">Működési költségvetés kiadásai </t>
    </r>
    <r>
      <rPr>
        <b/>
        <i/>
        <sz val="9"/>
        <rFont val="Times New Roman"/>
        <family val="1"/>
        <charset val="238"/>
      </rPr>
      <t>[=2.+...+6.]</t>
    </r>
  </si>
  <si>
    <t>Munkaadókat terhelő járulékok és szociális hozzájárulási adó (K2)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</si>
  <si>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</si>
  <si>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</si>
  <si>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</si>
  <si>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</si>
  <si>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r>
      <t xml:space="preserve">Működési finanszírozási bevételek (B81) </t>
    </r>
    <r>
      <rPr>
        <b/>
        <i/>
        <sz val="9"/>
        <rFont val="Times New Roman"/>
        <family val="1"/>
        <charset val="238"/>
      </rPr>
      <t>[=8.]</t>
    </r>
  </si>
  <si>
    <t>Személyi juttatások (K1)</t>
  </si>
  <si>
    <t>Dologi kiadások (K3)</t>
  </si>
  <si>
    <t>Ellátottak pénzbeli juttatásai (K4)</t>
  </si>
  <si>
    <t>Egyéb működési célú kiadások (K5)</t>
  </si>
  <si>
    <r>
      <t xml:space="preserve">Működési finanszírozási kiadások (K91) </t>
    </r>
    <r>
      <rPr>
        <b/>
        <i/>
        <sz val="9"/>
        <rFont val="Times New Roman"/>
        <family val="1"/>
        <charset val="238"/>
      </rPr>
      <t>[=8.]</t>
    </r>
  </si>
  <si>
    <r>
      <t xml:space="preserve">MŰKÖDÉSI BEVÉTELEK MINDÖSSZESEN </t>
    </r>
    <r>
      <rPr>
        <b/>
        <i/>
        <sz val="9"/>
        <rFont val="Times New Roman"/>
        <family val="1"/>
        <charset val="238"/>
      </rPr>
      <t>[=1.+7.]</t>
    </r>
  </si>
  <si>
    <t>Működési költségvetési hiány</t>
  </si>
  <si>
    <t>Működési költségvetési többlet</t>
  </si>
  <si>
    <r>
      <t xml:space="preserve">MŰKÖDÉSI KIADÁSOK MINDÖSSZESEN </t>
    </r>
    <r>
      <rPr>
        <b/>
        <i/>
        <sz val="9"/>
        <rFont val="Times New Roman"/>
        <family val="1"/>
        <charset val="238"/>
      </rPr>
      <t>[=1.+7.]</t>
    </r>
  </si>
  <si>
    <t>2.a. melléklet</t>
  </si>
  <si>
    <t>Működési finanszírozási műveletek egyenleg (-)</t>
  </si>
  <si>
    <t>Működési finanszírozási műveletek egyenleg (+)</t>
  </si>
  <si>
    <t>2.b. melléklet</t>
  </si>
  <si>
    <r>
      <t xml:space="preserve">Felhalmozási finanszírozási bevételek (B81) </t>
    </r>
    <r>
      <rPr>
        <b/>
        <i/>
        <sz val="9"/>
        <rFont val="Times New Roman"/>
        <family val="1"/>
        <charset val="238"/>
      </rPr>
      <t>[=8.]</t>
    </r>
  </si>
  <si>
    <r>
      <t xml:space="preserve">FELHALMOZÁSI BEVÉTELEK MINDÖSSZESEN </t>
    </r>
    <r>
      <rPr>
        <b/>
        <i/>
        <sz val="9"/>
        <rFont val="Times New Roman"/>
        <family val="1"/>
        <charset val="238"/>
      </rPr>
      <t>[=1.+7.]</t>
    </r>
  </si>
  <si>
    <t>Felhalmozási finanszírozási műveletek egyenleg (-)</t>
  </si>
  <si>
    <t>Felhalmozási finanszírozási műveletek egyenleg (+)</t>
  </si>
  <si>
    <t>Felhalmozási költségvetési többlet</t>
  </si>
  <si>
    <r>
      <t xml:space="preserve">FELHALMOZÁSI KIADÁSOK MINDÖSSZESEN </t>
    </r>
    <r>
      <rPr>
        <b/>
        <i/>
        <sz val="9"/>
        <rFont val="Times New Roman"/>
        <family val="1"/>
        <charset val="238"/>
      </rPr>
      <t>[=1.+7.]</t>
    </r>
  </si>
  <si>
    <r>
      <t xml:space="preserve">Felhalmozási finanszírozási kiadások (K91) </t>
    </r>
    <r>
      <rPr>
        <b/>
        <i/>
        <sz val="9"/>
        <rFont val="Times New Roman"/>
        <family val="1"/>
        <charset val="238"/>
      </rPr>
      <t>[=8.]</t>
    </r>
  </si>
  <si>
    <t>Felhalmozási célú támogatások államháztartáson belülről (B2)</t>
  </si>
  <si>
    <t>Felhalmozási bevételek (B5)</t>
  </si>
  <si>
    <t>Felhalmozási célú átvett pénzeszközök (B7)</t>
  </si>
  <si>
    <r>
      <t xml:space="preserve">Felhalmozási költségvetés bevételei </t>
    </r>
    <r>
      <rPr>
        <b/>
        <i/>
        <sz val="9"/>
        <rFont val="Times New Roman"/>
        <family val="1"/>
        <charset val="238"/>
      </rPr>
      <t>[=2.+...+4.]</t>
    </r>
  </si>
  <si>
    <r>
      <t xml:space="preserve">Felhalmozási költségvetés kiadásai </t>
    </r>
    <r>
      <rPr>
        <b/>
        <i/>
        <sz val="9"/>
        <rFont val="Times New Roman"/>
        <family val="1"/>
        <charset val="238"/>
      </rPr>
      <t>[=2.+...+4.]</t>
    </r>
  </si>
  <si>
    <t>Beruházások (K6)</t>
  </si>
  <si>
    <t>Felújítások (K7)</t>
  </si>
  <si>
    <t>Egyéb felhalmozási célú kiadások (K8)</t>
  </si>
  <si>
    <t>Felhalmozás költségvetési hiány</t>
  </si>
  <si>
    <t>Köztisztviselő</t>
  </si>
  <si>
    <t>Közalkalmazott</t>
  </si>
  <si>
    <t>Munka Törvénykönyv hatálya alá tartozó</t>
  </si>
  <si>
    <t>Heves Város Önkormányzata kötelező feladatok</t>
  </si>
  <si>
    <t>Heves Város Önkormányzata önként vállalt feladatok</t>
  </si>
  <si>
    <t>Heves Város Önkormányzata állami (államigazgatási) feladatok</t>
  </si>
  <si>
    <t>Heves Város Önkormányzata összesen</t>
  </si>
  <si>
    <t>Önkormányzati jogalkotás</t>
  </si>
  <si>
    <t>Építmény üzemeltetés</t>
  </si>
  <si>
    <t>Munkahelyi étkeztetés</t>
  </si>
  <si>
    <t>Heves Városi Óvodák és Bölcsőde Köznevelési Intézmény kötelező feladatok</t>
  </si>
  <si>
    <t>Heves Városi Óvodák és Bölcsőde Köznevelési Intézmény önként vállalt feladatok</t>
  </si>
  <si>
    <t>Heves Városi Óvodák és Bölcsőde Köznevelési Intézmény összesen</t>
  </si>
  <si>
    <t>Hevesi Kulturális Központ kötelező feladatok</t>
  </si>
  <si>
    <t>Hevesi Kulturális Központ önként vállalt feladsatok</t>
  </si>
  <si>
    <t>Hevesi Kulturális Központ összesen</t>
  </si>
  <si>
    <t>Közfoglalkoztatottak éves létszám-előirányzata</t>
  </si>
  <si>
    <t>3. melléklet</t>
  </si>
  <si>
    <t>MINDÖSSZESEN LÉTSZÁM</t>
  </si>
  <si>
    <t>KÖZFOGLALKOZTATOTTAK ÖSSZESEN</t>
  </si>
  <si>
    <t>ENGEDÉLYEZETT LÉTSZÁM ELŐIRÁNYZAT ÖSSZESEN</t>
  </si>
  <si>
    <t>9. melléklet</t>
  </si>
  <si>
    <t>1. EU-s projekt azonosítója, neve:</t>
  </si>
  <si>
    <t>2. EU-s projekt azonosítója, neve: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</si>
  <si>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</si>
  <si>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</si>
  <si>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</si>
  <si>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</si>
  <si>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</si>
  <si>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</si>
  <si>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</si>
  <si>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</si>
  <si>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</si>
  <si>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Összesen:</t>
  </si>
  <si>
    <t>3. EU-s projekt azonosítója, neve:</t>
  </si>
  <si>
    <t>4. EU-s projekt azonosítója, neve:</t>
  </si>
  <si>
    <t>4. melléklet</t>
  </si>
  <si>
    <t>2016.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</si>
  <si>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</si>
  <si>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</si>
  <si>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</si>
  <si>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</si>
  <si>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</si>
  <si>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</si>
  <si>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</si>
  <si>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</si>
  <si>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Kiadások, költségek összesen:</t>
  </si>
  <si>
    <t>EURÓPAI UNIÓS TÁMOGATÁSSAL MEGVALÓSULÓ PROJEKTEK BEVÉTELEI, KIADÁSAI, HOZZÁJÁRULÁSOK</t>
  </si>
  <si>
    <t>5. melléklet</t>
  </si>
  <si>
    <t xml:space="preserve">Saját bevétel és adósságot keletkeztető ügyletből eredő fizetési kötelezettség </t>
  </si>
  <si>
    <t xml:space="preserve"> Ezer forintban !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</si>
  <si>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</si>
  <si>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</si>
  <si>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</si>
  <si>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</si>
  <si>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</si>
  <si>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</si>
  <si>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</si>
  <si>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</si>
  <si>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</si>
  <si>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</si>
  <si>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</si>
  <si>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</si>
  <si>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</si>
  <si>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24.</t>
  </si>
  <si>
    <t>25.</t>
  </si>
  <si>
    <t>26.</t>
  </si>
  <si>
    <t>27.</t>
  </si>
  <si>
    <t>Fejlesztési cél leírása</t>
  </si>
  <si>
    <t>Fejlesztés várható kiadása</t>
  </si>
  <si>
    <r>
      <t>Évek</t>
    </r>
    <r>
      <rPr>
        <vertAlign val="superscript"/>
        <sz val="9"/>
        <rFont val="Times New Roman CE"/>
        <charset val="238"/>
      </rPr>
      <t>1</t>
    </r>
  </si>
  <si>
    <r>
      <rPr>
        <vertAlign val="superscript"/>
        <sz val="9"/>
        <rFont val="Times New Roman CE"/>
        <charset val="238"/>
      </rPr>
      <t>1</t>
    </r>
    <r>
      <rPr>
        <sz val="9"/>
        <rFont val="Times New Roman CE"/>
        <charset val="238"/>
      </rPr>
      <t>A saját bevételeket és a fizetési kötelezettségeket az ügylet futamidejének végéig be kell mutatni, évenkénti bontásban.</t>
    </r>
  </si>
  <si>
    <t>10. melléklet</t>
  </si>
  <si>
    <t>Többéves kihatással járó döntésekből származó kötelezettségek célok szerint, évenkénti bontásban</t>
  </si>
  <si>
    <t>Kötelezettség jogcíme</t>
  </si>
  <si>
    <t>Köt. váll.
 éve</t>
  </si>
  <si>
    <t>Kiadás vonzata évenként</t>
  </si>
  <si>
    <t>9=(4+5+6+7+8)</t>
  </si>
  <si>
    <t>Kötvénykibocsátással kapcsolatos kötelezettségek</t>
  </si>
  <si>
    <t>Európai uniós támogatással megvalósuló projektek</t>
  </si>
  <si>
    <t>28.</t>
  </si>
  <si>
    <t>29.</t>
  </si>
  <si>
    <t>30.</t>
  </si>
  <si>
    <t>Egyéb kötelezettségek</t>
  </si>
  <si>
    <t>6. melléklet</t>
  </si>
  <si>
    <t>7. melléklet</t>
  </si>
  <si>
    <t>(kedvezmények)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</si>
  <si>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</si>
  <si>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</si>
  <si>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</si>
  <si>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</si>
  <si>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</si>
  <si>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>Építményadó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</si>
  <si>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</si>
  <si>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</si>
  <si>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</si>
  <si>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</si>
  <si>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</si>
  <si>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</si>
  <si>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</si>
  <si>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</si>
  <si>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</si>
  <si>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</si>
  <si>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</si>
  <si>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11.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</si>
  <si>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</si>
  <si>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</si>
  <si>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</si>
  <si>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</si>
  <si>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</si>
  <si>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</si>
  <si>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</si>
  <si>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</si>
  <si>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</si>
  <si>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</si>
  <si>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</si>
  <si>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</si>
  <si>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</si>
  <si>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Közhatalmi bevételek</t>
  </si>
  <si>
    <t>Bevételek összesen:</t>
  </si>
  <si>
    <t>Kiadások</t>
  </si>
  <si>
    <t>Kiadások összesen: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</si>
  <si>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</si>
  <si>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</si>
  <si>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</si>
  <si>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</si>
  <si>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</si>
  <si>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</si>
  <si>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Működési finanszírozási bevételek</t>
  </si>
  <si>
    <t>Felhalmozási finanszírozási bevételek</t>
  </si>
  <si>
    <t>Működési finanszírozási kiadások</t>
  </si>
  <si>
    <t>Felhalmozási finanszírozási kiadások</t>
  </si>
  <si>
    <t>Havi egyenleg</t>
  </si>
  <si>
    <t>Éves halmozott egyenleg</t>
  </si>
  <si>
    <t>(a tárgyévet megelőző két év teljesítési adataival kiegészítve)</t>
  </si>
  <si>
    <t>Jogcím</t>
  </si>
  <si>
    <t>1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</si>
  <si>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</si>
  <si>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</si>
  <si>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</si>
  <si>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</si>
  <si>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Óvodaműködtetési támogatás</t>
  </si>
  <si>
    <t>Társulás által fenntartott óvodákba bejáró gyermekek utaztatásának támogatása</t>
  </si>
  <si>
    <t>Egyes szociális és gyermekjóléti feladatok támogatása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</si>
  <si>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</si>
  <si>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</si>
  <si>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</si>
  <si>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</si>
  <si>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</si>
  <si>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Hajléktalanok nappali intézményi ellátása</t>
  </si>
  <si>
    <t>Könyvtári, közművelődési és múzeumi feladatok támogatása</t>
  </si>
  <si>
    <t>A települési önkormányzatok által fenntartott, illetve támogatott előadó-művészeti szervezetek támogatása</t>
  </si>
  <si>
    <t>V.</t>
  </si>
  <si>
    <t>Forintban!</t>
  </si>
  <si>
    <t>A települési önkormányzatok működésének támogatása</t>
  </si>
  <si>
    <t xml:space="preserve">a) </t>
  </si>
  <si>
    <t>b)</t>
  </si>
  <si>
    <t>ba)</t>
  </si>
  <si>
    <t>bb)</t>
  </si>
  <si>
    <t>bc)</t>
  </si>
  <si>
    <t>bd)</t>
  </si>
  <si>
    <t>c)</t>
  </si>
  <si>
    <t>Egyéb önkormányzati feladatok támogatása</t>
  </si>
  <si>
    <t>d)</t>
  </si>
  <si>
    <t>Nem közművel összegyűjtött háztartási szennyvíz ártalmatlanítása</t>
  </si>
  <si>
    <t>a)</t>
  </si>
  <si>
    <t>e)</t>
  </si>
  <si>
    <t>f)</t>
  </si>
  <si>
    <t>g)</t>
  </si>
  <si>
    <t>h)</t>
  </si>
  <si>
    <t>Pszichiátriai és szenvedélybetegek nappali intézményi ellátása</t>
  </si>
  <si>
    <t>i)</t>
  </si>
  <si>
    <t>j)</t>
  </si>
  <si>
    <t>Bölcsődei ellátás</t>
  </si>
  <si>
    <t>k)</t>
  </si>
  <si>
    <t>Hajléktalanok átmeneti intézményei</t>
  </si>
  <si>
    <t>l)</t>
  </si>
  <si>
    <t>A finanszírozás szempontjából elismert szakmai dolgozók bértámogatása</t>
  </si>
  <si>
    <t>Intézmény-üzemeltetési támogatás</t>
  </si>
  <si>
    <t>Megyei könyvtárak feladatainak támogatása</t>
  </si>
  <si>
    <t>Színházművészeti szervezetek támogatása</t>
  </si>
  <si>
    <t>Táncművészeti szervezetek támogatása</t>
  </si>
  <si>
    <t>Zeneművészeti szervezetek támogatása</t>
  </si>
  <si>
    <t>Kötelező önkormányzati feladatot ellátó intézmények fejlesztése, felújítása</t>
  </si>
  <si>
    <t>Óvodai, iskolai és utánpótlás sport infrastruktúra-fejlesztés, felújítás</t>
  </si>
  <si>
    <t>A kötelezően ellátandó helyi közösségi közlekedési feladat támogatása</t>
  </si>
  <si>
    <t>Költségvetési törvény 2. melléklete szerinti támogatások</t>
  </si>
  <si>
    <t>Költségvetési törvény 3. melléklete szerinti támogatások</t>
  </si>
  <si>
    <t>A</t>
  </si>
  <si>
    <t>B</t>
  </si>
  <si>
    <t>C</t>
  </si>
  <si>
    <t>D</t>
  </si>
  <si>
    <t>14. melléklet</t>
  </si>
  <si>
    <t>Kivitelezés kezdési és befejezési éve</t>
  </si>
  <si>
    <t>7=(2-4-5-6)</t>
  </si>
  <si>
    <t>Heves Város Önkormányzata felújításai</t>
  </si>
  <si>
    <t>Heves Város Önkormányzata felújításai összesen:</t>
  </si>
  <si>
    <t>Heves Városi Óvodák és Bölcsőde Köznevelési Intézmény felújításai</t>
  </si>
  <si>
    <t>Heves Városi Óvodák és Bölcsőde Köznevelési Intézmény felújításai összesen:</t>
  </si>
  <si>
    <t>Hevesi Kulturális Központ felújításai összesen:</t>
  </si>
  <si>
    <t>Heves Város Önkormányzata beruházásai</t>
  </si>
  <si>
    <t>Heves Város Önkormányzata beruházásai összesen:</t>
  </si>
  <si>
    <t>Heves Városi Óvodák és Bölcsőde Köznevelési Intézmény beruházásai</t>
  </si>
  <si>
    <t>Heves Városi Óvodák és Bölcsőde Köznevelési Intézmény beruházásai összesen:</t>
  </si>
  <si>
    <t>Hevesi Kulturális Központ beruházásai</t>
  </si>
  <si>
    <t>Hevesi Kulturális Központ beruházásai összesen:</t>
  </si>
  <si>
    <t>Pályázatból támogatás</t>
  </si>
  <si>
    <t xml:space="preserve">Teljes költség </t>
  </si>
  <si>
    <t>BERUHÁZÁSOK MINDÖSSZESEN:</t>
  </si>
  <si>
    <t>FELÚJÍTÁSOK MINDÖSSZESEN:</t>
  </si>
  <si>
    <t>Heves Város Önkormányzata egyéb felhalmozási célú kiadásai</t>
  </si>
  <si>
    <t>Heves Város Önkormányzata egyéb felhalmozási célú kiadásai összesen:</t>
  </si>
  <si>
    <t>Heves Városi Óvodák és Bölcsőde Köznevelési Intézmény egyéb felhalmozási célú kiadásai</t>
  </si>
  <si>
    <t>Heves Városi Óvodák és Bölcsőde Köznevelési Intézmény egyéb felhalmozási célú kiadásai összesen:</t>
  </si>
  <si>
    <t>Hevesi Kulturális Központ egyéb felhalmozási célú kiadásai</t>
  </si>
  <si>
    <t>Hevesi Kulturális Központ egyéb felhalmozási célú kiadásai összesen:</t>
  </si>
  <si>
    <t>EU-s forrásból finanszírozott támogatással megvalósuló programok, projektek beruházási kiadásai</t>
  </si>
  <si>
    <t>EU-s forrásból finanszírozott támogatással megvalósuló programok, projektek beruházási kiadásai összesen:</t>
  </si>
  <si>
    <t>EU-s forrásból finanszírozott támogatással megvalósuló programok, projektek felújítási kiadásai</t>
  </si>
  <si>
    <t>EU-s forrásból finanszírozott támogatással megvalósuló programok, projektek felújítási kiadásai összesen:</t>
  </si>
  <si>
    <t>EGYÉB FELHALMOZÁSI CÉLÚ KIADÁSOK MINDÖSSZESEN:</t>
  </si>
  <si>
    <t>Felhalmozási célú kiadások megnevezése</t>
  </si>
  <si>
    <t>Támogatott szervezet neve</t>
  </si>
  <si>
    <t>Támogatás célja</t>
  </si>
  <si>
    <t>Heves Város Roma Nemzetiségi Önkormányzata</t>
  </si>
  <si>
    <t>működési kiadások</t>
  </si>
  <si>
    <t>Heves Labdarúgó Sport Club</t>
  </si>
  <si>
    <t>HSE</t>
  </si>
  <si>
    <t>Egyéb működési célú támogatások államháztartáson kívülre összesen:</t>
  </si>
  <si>
    <t>Egyéb működési célú támogatások államháztartáson belülre összesen:</t>
  </si>
  <si>
    <t>Egyéb felhalmozási célú támogatások államháztartáson belülre összesen:</t>
  </si>
  <si>
    <t>Egyéb felhalmozási célú támogatások államháztartáson kívülre</t>
  </si>
  <si>
    <t>Egyéb felhalmozási célú támogatások államháztartáson kívülre összesen:</t>
  </si>
  <si>
    <t>E</t>
  </si>
  <si>
    <t>K</t>
  </si>
  <si>
    <t>Adó, illeték kiszabása, beszedése, adóellenőrzés</t>
  </si>
  <si>
    <t>Finanszírozási műveletek</t>
  </si>
  <si>
    <t xml:space="preserve">Országos és helyi népszavazáshoz kapcsolódó tevékenységek </t>
  </si>
  <si>
    <t xml:space="preserve">Rendszeres gyermekvédelmi pénzbeli ellátás </t>
  </si>
  <si>
    <t xml:space="preserve">Kiegészítő gyermekvédelmi támogatás </t>
  </si>
  <si>
    <t>Rendkívüli gyermekvédelmi támogatás</t>
  </si>
  <si>
    <t>Köztemetés</t>
  </si>
  <si>
    <t>Víztermelés-, kezelés-, ellátás</t>
  </si>
  <si>
    <t>Út, autópálya építése</t>
  </si>
  <si>
    <t>Közutak, hidak, alagutak üzemeltetése, fenntartása</t>
  </si>
  <si>
    <t>Közvilágítás</t>
  </si>
  <si>
    <t xml:space="preserve">Város-, községgazdálkodási m.n.s. szolgáltatások </t>
  </si>
  <si>
    <t>Zöldterület-kezelés</t>
  </si>
  <si>
    <t xml:space="preserve">Közterület rendjének fenntartása </t>
  </si>
  <si>
    <t>Ár- és belvízvédelemmel összefüggő tevékenységek</t>
  </si>
  <si>
    <t>Köztemető fenntartás és működtetés</t>
  </si>
  <si>
    <t>Nem lakóingatlan bérbeadása, üzemeltetése</t>
  </si>
  <si>
    <t xml:space="preserve">Központi költségvetési befizetések </t>
  </si>
  <si>
    <t>A polgári védelem ágazati feladatai</t>
  </si>
  <si>
    <t xml:space="preserve">Versenysport-tevékenység és támogatása </t>
  </si>
  <si>
    <t xml:space="preserve">Önkormányzatok m.n.s. nemzetközi kapcsolatai </t>
  </si>
  <si>
    <t xml:space="preserve">Szabadidős park, fürdő és strandszolgáltatás </t>
  </si>
  <si>
    <t xml:space="preserve">Önkormányzatok által nyújtott lakástámogatás </t>
  </si>
  <si>
    <t xml:space="preserve">Sportlétesítmények működtetése és fejlesztése </t>
  </si>
  <si>
    <t>Országgyűlési képviselőválasztáshoz kapcsolódó tevékenységek</t>
  </si>
  <si>
    <t xml:space="preserve">Önkormányzati képviselőválasztáshoz kapcsolódó tevékenységek </t>
  </si>
  <si>
    <t xml:space="preserve">Munkáltatók által nyújtott lakástámogatás </t>
  </si>
  <si>
    <t xml:space="preserve">Rövid időtartamú közfoglalkoztatás </t>
  </si>
  <si>
    <t>Start-munka program – Téli közfoglalkoztatás</t>
  </si>
  <si>
    <t>Közfoglalkoztatási mintaprogram</t>
  </si>
  <si>
    <t xml:space="preserve">Civil szervezetek program- és egyéb támogatása </t>
  </si>
  <si>
    <t>Önkormányzatok és társulások általános végrehajtó igazgatási tevékenysége</t>
  </si>
  <si>
    <t>Önkormányzatok és önkormányzati hivatalok jogalkotó és általános igazgatási tevékenysége</t>
  </si>
  <si>
    <t>011130</t>
  </si>
  <si>
    <t>Adó-, vám- és jövedéki igazgatás</t>
  </si>
  <si>
    <t>011220</t>
  </si>
  <si>
    <t>Forgatási és befektetési célú finanszírozási műveletek</t>
  </si>
  <si>
    <t>900060</t>
  </si>
  <si>
    <t>Országos és helyi népszavazással kapcsolatos tevékenységek</t>
  </si>
  <si>
    <t>016020</t>
  </si>
  <si>
    <t>Helyi nemzetiségi önkormányzatok igazgatási tevékenysége</t>
  </si>
  <si>
    <t>011140</t>
  </si>
  <si>
    <t>106020</t>
  </si>
  <si>
    <t>Lakásfenntartással, lakhatással összefüggő ellátások</t>
  </si>
  <si>
    <t>Betegséggel kapcsolatos pénzbeli ellátások, támogatások</t>
  </si>
  <si>
    <t>101150</t>
  </si>
  <si>
    <t>Gyermekvédelmi pénzbeli és természetbeni ellátások</t>
  </si>
  <si>
    <t>104051</t>
  </si>
  <si>
    <t>107060</t>
  </si>
  <si>
    <t>Egyéb szociális pénzbeli ellátások, támogatások</t>
  </si>
  <si>
    <t>Elhunyt személyek hátramaradottainak pénzbeli ellátása</t>
  </si>
  <si>
    <t>103010</t>
  </si>
  <si>
    <t>Szociális ösztöndíjak</t>
  </si>
  <si>
    <t>094260</t>
  </si>
  <si>
    <t>Hallgatói és oktatói ösztöndíjak, egyéb juttatások</t>
  </si>
  <si>
    <t>Egyéb szociális természetbeni és pénzbeli ellátások</t>
  </si>
  <si>
    <t>063020</t>
  </si>
  <si>
    <t>Víztermelés, -kezelés, -ellátás</t>
  </si>
  <si>
    <t>051030</t>
  </si>
  <si>
    <t>Nem veszélyes (települési) hulladék vegyes (ömlesztett) begyűjtése, szállítása, átrakása</t>
  </si>
  <si>
    <t>045120</t>
  </si>
  <si>
    <t>Városi és elővárosi közúti személyszállítás</t>
  </si>
  <si>
    <t>045140</t>
  </si>
  <si>
    <t>045160</t>
  </si>
  <si>
    <t>064010</t>
  </si>
  <si>
    <t>066020</t>
  </si>
  <si>
    <t>Más szerv részére végzett pénzügyi-gazdálkodási, üzemeltetési, egyéb szolgáltatások</t>
  </si>
  <si>
    <t>013360</t>
  </si>
  <si>
    <t>072210</t>
  </si>
  <si>
    <t>Járóbetegek gyógyító szakellátása</t>
  </si>
  <si>
    <t>013350</t>
  </si>
  <si>
    <t>Állat-egészségügy</t>
  </si>
  <si>
    <t>042180</t>
  </si>
  <si>
    <t>066010</t>
  </si>
  <si>
    <t>Rövid időtartamú közfoglalkoztatás</t>
  </si>
  <si>
    <t>041231</t>
  </si>
  <si>
    <t>041232</t>
  </si>
  <si>
    <t>Foglalkoztatást helyettesítő támogatásra jogosultak hosszabb időtartamú közfoglalkoztatása</t>
  </si>
  <si>
    <t>041233</t>
  </si>
  <si>
    <t>Hosszabb időtartamú közfoglalkoztatás</t>
  </si>
  <si>
    <t>Egyéb közfoglalkoztatás</t>
  </si>
  <si>
    <t>041237</t>
  </si>
  <si>
    <t>041236</t>
  </si>
  <si>
    <t>Országos közfoglalkoztatási program</t>
  </si>
  <si>
    <t>047410</t>
  </si>
  <si>
    <t>Köztemető-fenntartás és -működtetés</t>
  </si>
  <si>
    <t>013320</t>
  </si>
  <si>
    <t>Önkormányzatok és társulások elszámolásai a központi költségvetéssel</t>
  </si>
  <si>
    <t>018020</t>
  </si>
  <si>
    <t>Önkormányzatok elszámolásai a központi költségvetéssel</t>
  </si>
  <si>
    <t>Központi költségvetési befizetések</t>
  </si>
  <si>
    <t>018010</t>
  </si>
  <si>
    <t>A polgári honvédelem ágazati feladatai, a lakosság felkészítése</t>
  </si>
  <si>
    <t>022010</t>
  </si>
  <si>
    <t>Sportlétesítmények, edzőtáborok működtetése és fejlesztése</t>
  </si>
  <si>
    <t>Versenysport-és utánpótlás-nevelési tevékenység</t>
  </si>
  <si>
    <t>081030</t>
  </si>
  <si>
    <t>081041</t>
  </si>
  <si>
    <t>Közbiztonság, közrend igazgatása</t>
  </si>
  <si>
    <t>081061</t>
  </si>
  <si>
    <t>061030</t>
  </si>
  <si>
    <t>Lakáshoz jutást segítő támogatások</t>
  </si>
  <si>
    <t>Civil szervezetek programtámogatása</t>
  </si>
  <si>
    <t>084032</t>
  </si>
  <si>
    <t>Országos és helyi nemzetiségi önkormányzati választásokhoz kapcsolódó tevékenységek</t>
  </si>
  <si>
    <t xml:space="preserve">Európai parlamenti képviselőválasztáshoz kapcsolódó tevékenységek </t>
  </si>
  <si>
    <t>Országgyűlési, önkormányzati és európai parlamenti képviselőválasztásokhoz kapcsolódó tevékenységek</t>
  </si>
  <si>
    <t>016010</t>
  </si>
  <si>
    <t>13. melléklet</t>
  </si>
  <si>
    <t>BEVÉTELI JOGCÍMEK feladatonként</t>
  </si>
  <si>
    <t>Szakfeladat száma</t>
  </si>
  <si>
    <t>ebből:</t>
  </si>
  <si>
    <t>F</t>
  </si>
  <si>
    <t>G</t>
  </si>
  <si>
    <t>H</t>
  </si>
  <si>
    <t>I</t>
  </si>
  <si>
    <t>J</t>
  </si>
  <si>
    <t>L</t>
  </si>
  <si>
    <t>Hevesi Kulturális Központ önként vállalt feladatok</t>
  </si>
  <si>
    <t>KÖLTSÉGVETÉSI BEVÉTELEK ÖSSZESEN:</t>
  </si>
  <si>
    <t>KIADÁSI JOGCÍMEK feladatonként</t>
  </si>
  <si>
    <t>Intézmény / feladat finanszírozás</t>
  </si>
  <si>
    <t>Kiegészítés</t>
  </si>
  <si>
    <t>Egyéb kötelező önkormányzati feladatok</t>
  </si>
  <si>
    <t>Egyéb önállóan vállalt önkormányzati feladatok</t>
  </si>
  <si>
    <t>Egyéb kötelező polgármesteri hivatali feladatok</t>
  </si>
  <si>
    <t>Kormányzati funkció elnevezése</t>
  </si>
  <si>
    <t>Kormányzati funkció</t>
  </si>
  <si>
    <t xml:space="preserve"> Működési célú támogatások államháztartáson belülről</t>
  </si>
  <si>
    <t xml:space="preserve"> Működési bevételek</t>
  </si>
  <si>
    <t xml:space="preserve"> Működési célú átvett pénzeszközök</t>
  </si>
  <si>
    <t xml:space="preserve"> Ellátottak pénzbeli juttatásai</t>
  </si>
  <si>
    <t>Heves Városi Óvodák és Bölcsőde Köznevelési Intézmény állami (államigazgatási) feladatok</t>
  </si>
  <si>
    <t>Hevesi Kulturális Központ állami (államigazgatási) feladatok</t>
  </si>
  <si>
    <t>HEVES VÁROS ÖNKORMÁNYZATA ÉS KÖLTSÉGVETÉSI SZERVEI KÖLTSÉGVETÉSI BEVÉTELI ÉS KIADÁSI ELŐIRÁNYZATAI FELADATONKÉNT</t>
  </si>
  <si>
    <t>KÖLTSÉGVETÉSI BEVÉTELEK / KIADÁSOK ÖSSZESEN</t>
  </si>
  <si>
    <t>FINANSZÍROZÁSI BEVÉTELEK / KIADÁSOK</t>
  </si>
  <si>
    <t>BEVÉTELEK / KIADÁSOK MINDÖSSZESEN</t>
  </si>
  <si>
    <t>Szociális juttatások</t>
  </si>
  <si>
    <t>Önkormányzatok és társulások általános végrehajtó igazgatási tevékenysége és építmény üzemeltetés</t>
  </si>
  <si>
    <t>EU-s pályázatok</t>
  </si>
  <si>
    <t>Közterülethasználat</t>
  </si>
  <si>
    <t>Építményüzemeltetés</t>
  </si>
  <si>
    <t>3.6.</t>
  </si>
  <si>
    <r>
      <t xml:space="preserve">I/2. Közhatalmi bevételek (B3) </t>
    </r>
    <r>
      <rPr>
        <b/>
        <i/>
        <sz val="9"/>
        <rFont val="Times New Roman"/>
        <family val="1"/>
        <charset val="238"/>
      </rPr>
      <t>[=3.1.+…+3.6.]</t>
    </r>
  </si>
  <si>
    <t>Egyéb közhatalmi bevételek (B36)</t>
  </si>
  <si>
    <t>12. melléklet</t>
  </si>
  <si>
    <t>15. melléklet</t>
  </si>
  <si>
    <t>Adatszolgáltatás 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</si>
  <si>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</si>
  <si>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</si>
  <si>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</si>
  <si>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</si>
  <si>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</si>
  <si>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</si>
  <si>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</si>
  <si>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</si>
  <si>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60-90 nap 
közötti 
állomány</t>
  </si>
  <si>
    <t>90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</si>
  <si>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</si>
  <si>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</si>
  <si>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</si>
  <si>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</si>
  <si>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</si>
  <si>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</si>
  <si>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</si>
  <si>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</si>
  <si>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Intézmény</t>
  </si>
  <si>
    <t>Nyersanyagnorma</t>
  </si>
  <si>
    <t>Áfa nélkül</t>
  </si>
  <si>
    <t>Áfá-val</t>
  </si>
  <si>
    <t>Reggeli</t>
  </si>
  <si>
    <t>Tízórai</t>
  </si>
  <si>
    <t>Ebéd</t>
  </si>
  <si>
    <t>Uzsonna</t>
  </si>
  <si>
    <t>Hivatali Konyha (saját dolgozó, vendég)</t>
  </si>
  <si>
    <t>1. függelék</t>
  </si>
  <si>
    <t>Évek</t>
  </si>
  <si>
    <t>2. függelék</t>
  </si>
  <si>
    <t>Útkarbantartás</t>
  </si>
  <si>
    <t>Kisteherautó, munkagépek üzemeltetése (üzemanyag, karbantartás, javítás)</t>
  </si>
  <si>
    <t>közfoglalkoztatás</t>
  </si>
  <si>
    <t>Általános iskola háromszori étkezés</t>
  </si>
  <si>
    <t>Óvoda háromszori étkezés</t>
  </si>
  <si>
    <t>Bölcsöde négyszeri étkezés</t>
  </si>
  <si>
    <t>Térítési díjak (Áfá-val)</t>
  </si>
  <si>
    <t>hkk</t>
  </si>
  <si>
    <t>1.3.</t>
  </si>
  <si>
    <t>1.4.</t>
  </si>
  <si>
    <t>1.5.</t>
  </si>
  <si>
    <t>1.6.</t>
  </si>
  <si>
    <t>1.7.</t>
  </si>
  <si>
    <t>1.8.</t>
  </si>
  <si>
    <t>Dr. Szegő Imre Idősek és Mozgásfogyatékosok Otthona, Fehér Hárs Idősek Otthona, Gondozási Központ</t>
  </si>
  <si>
    <t>Önkormányzati kiegészítések feladatonként</t>
  </si>
  <si>
    <t xml:space="preserve">J e g y z é k </t>
  </si>
  <si>
    <t>Kötelező tartalom (Áht. 23. § (2) bekezdése és az Ávr. 24. §-a szerint)</t>
  </si>
  <si>
    <t>Működési célú bevételek és kiadások mérlege (önkormányzati összesen)</t>
  </si>
  <si>
    <t>Felhalmozási célú bevételek és kiadások mérlege (önkormányzati összesen)</t>
  </si>
  <si>
    <t>Európai uniós támogatással megvalósuló projektek bevételei, kiadásai, hozzájárulások</t>
  </si>
  <si>
    <t>Az önkormányzat adósságot keletkeztető ügyletekből és kezességvállalásokból fennálló kötelezettségei, fejlesztési céljai, fizetési kötelezettség megállapításához saját bevételei részletezése</t>
  </si>
  <si>
    <t>Kötelező tájékoztatás (Áht. 24. § (4) bekezdése szerint)</t>
  </si>
  <si>
    <t>8. melléklet</t>
  </si>
  <si>
    <t>Egyéb nem kötelező tartalom</t>
  </si>
  <si>
    <t>Az önkormányzat bevételi és kiadási előirányzatai feladatonként</t>
  </si>
  <si>
    <t>Önkormányzati kiegészítés feladatonként</t>
  </si>
  <si>
    <t>16. melléklet</t>
  </si>
  <si>
    <t>Függelékek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</si>
  <si>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</si>
  <si>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</si>
  <si>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</si>
  <si>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</si>
  <si>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r>
      <t>Saját bevételek (1.+...+6.)</t>
    </r>
    <r>
      <rPr>
        <b/>
        <vertAlign val="superscript"/>
        <sz val="9"/>
        <rFont val="Times New Roman CE"/>
        <charset val="238"/>
      </rPr>
      <t>2</t>
    </r>
  </si>
  <si>
    <r>
      <t>Saját bevételek (7. sor) 50%-a</t>
    </r>
    <r>
      <rPr>
        <b/>
        <vertAlign val="superscript"/>
        <sz val="9"/>
        <rFont val="Times New Roman CE"/>
        <charset val="238"/>
      </rPr>
      <t>2</t>
    </r>
  </si>
  <si>
    <t>Saját bevételek (7. sor) 50%-a</t>
  </si>
  <si>
    <t>Saját bevételek (1.+...+6.)</t>
  </si>
  <si>
    <t>Halasztott fizetés, részletfizetés</t>
  </si>
  <si>
    <t>Visszavásárlási kötelezettség kikötésével megkötött adásvételi szerződés eladói félként történő megkötése a visszavásárlásig, és a kikötött visszavásárlási ár</t>
  </si>
  <si>
    <t>Hitelintézetek által, származékos műveletek különbözeteként az Államadósság Kezelő Központ Zrt.-nél elhelyezett fedezeti betétek, és azok összege</t>
  </si>
  <si>
    <r>
      <t>Előző év(ek)ben keletkezett tárgyévet terhelő fizetési kötelezettség</t>
    </r>
    <r>
      <rPr>
        <b/>
        <vertAlign val="superscript"/>
        <sz val="9"/>
        <rFont val="Times New Roman CE"/>
        <charset val="238"/>
      </rPr>
      <t>3</t>
    </r>
    <r>
      <rPr>
        <b/>
        <sz val="9"/>
        <rFont val="Times New Roman CE"/>
        <charset val="238"/>
      </rPr>
      <t xml:space="preserve"> (10.+...+18.)</t>
    </r>
  </si>
  <si>
    <r>
      <t>Tárgyévben keletkezett, illetve keletkező, tárgyévet terhelő fizetési kötelezettség</t>
    </r>
    <r>
      <rPr>
        <b/>
        <vertAlign val="superscript"/>
        <sz val="9"/>
        <rFont val="Times New Roman CE"/>
        <charset val="238"/>
      </rPr>
      <t xml:space="preserve">3 </t>
    </r>
    <r>
      <rPr>
        <b/>
        <sz val="9"/>
        <rFont val="Times New Roman CE"/>
        <charset val="238"/>
      </rPr>
      <t>(20.+...+28.)</t>
    </r>
  </si>
  <si>
    <t>Fizetési kötelezettség összesen (9.+19.)</t>
  </si>
  <si>
    <t>Fizetési kötelezettséggel csökkentett saját bevétel (8.-29.)</t>
  </si>
  <si>
    <t>Előző év(ek)ben keletkezett tárgyévet terhelő fizetési kötelezettség (10.+...+18.)</t>
  </si>
  <si>
    <t>Tárgyévben keletkezett, illetve keletkező, tárgyévet terhelő fizetési kötelezettség (20.+...+28.)</t>
  </si>
  <si>
    <t>Országos és helyi nemzetiségi önkormányzatok igazgatási tevékenysége</t>
  </si>
  <si>
    <t>HEVES VÁROSI MEZEI ŐRSZOLGÁLAT</t>
  </si>
  <si>
    <t>Heves Városi Mezei Őrszolgálat kötelező feladatok</t>
  </si>
  <si>
    <t>Heves Városi Mezei Őrszolgálat önként vállalt feladatok</t>
  </si>
  <si>
    <t>Heves Városi Mezei Őrszolgálat összesen</t>
  </si>
  <si>
    <t>Heves Városi Mezei Őrszolgálat beruházásai összesen:</t>
  </si>
  <si>
    <t>Heves Városi Mezei Őrszolgálat beruházásai</t>
  </si>
  <si>
    <t>Heves Városi Mezei Őrszolgálat egyéb felhalmozási célú kiadásai</t>
  </si>
  <si>
    <t>Heves Városi Mezei Őrszolgálat egyéb felhalmozási célú kiadásai összesen:</t>
  </si>
  <si>
    <t>1.5. melléklet</t>
  </si>
  <si>
    <t>HEVESI KÖZÖS ÖNKORMÁNYZATI HIVATAL</t>
  </si>
  <si>
    <t>Hevesi Közös Önkormányzati Hivatal kötelező feladatok</t>
  </si>
  <si>
    <t>Hevesi Közös Önkormányzati Hivatal önként vállalt feladatok</t>
  </si>
  <si>
    <t>Hevesi Közös Önkormányzati Hivatal állami (államigazgatási) feladatok</t>
  </si>
  <si>
    <t>Hevesi Közös Önkormányzati Hivatal összesen</t>
  </si>
  <si>
    <t>Hevesi Közös Önkormányzati Hivatal beruházásai</t>
  </si>
  <si>
    <t>Hevesi Közös Önkormányzati Hivatal beruházásai összesen:</t>
  </si>
  <si>
    <t>Hevesi Közös Önkormányzati Hivatal felújításai</t>
  </si>
  <si>
    <t>Hevesi Közös Önkormányzati Hivatal felújításai összesen:</t>
  </si>
  <si>
    <t>Hevesi Közös Önkormányzati Hivatal egyéb felhalmozási célú kiadásai</t>
  </si>
  <si>
    <t>Hevesi Közös Önkormányzati Hivatal egyéb felhalmozási célú kiadásai összesen:</t>
  </si>
  <si>
    <t>Megyei önkormányzatok rendkívüli támogatása</t>
  </si>
  <si>
    <t>Közművelődési érdekeltségnövelő támogatás, muzeális intézmények szakmai támogatása</t>
  </si>
  <si>
    <t>Közművelődési érdekeltségnövelő támogatás</t>
  </si>
  <si>
    <t>Muzeális intézmények szakmai támogatása (Kubinyi Ágoston Program)</t>
  </si>
  <si>
    <r>
      <t>A HELYI ÖNKORMÁNYZATOK ÁLTALÁNOS MŰKÖDÉSÉNEK ÉS ÁGAZATI FELADATAINAK TÁMOGATÁSA</t>
    </r>
    <r>
      <rPr>
        <b/>
        <i/>
        <sz val="9"/>
        <rFont val="Times New Roman CE"/>
        <charset val="238"/>
      </rPr>
      <t xml:space="preserve"> [I.+...+V.]</t>
    </r>
  </si>
  <si>
    <t>Vis maior támogatás</t>
  </si>
  <si>
    <t>M</t>
  </si>
  <si>
    <t>N</t>
  </si>
  <si>
    <t>O</t>
  </si>
  <si>
    <t>Heves Városi Mezei Őrszolgálat állami (államigazgatási) feladatok</t>
  </si>
  <si>
    <t>Hevesi Kulturális Központ felújításai</t>
  </si>
  <si>
    <t>Heves Városi Mezei Őrszolgálat felújításai</t>
  </si>
  <si>
    <t>Működési célú hiteltörlesztés</t>
  </si>
  <si>
    <t>Felhalmozási célú hiteltörlesztés</t>
  </si>
  <si>
    <t>KÖLTSÉGVETÉSI KIADÁSOK ÖSSZESEN:</t>
  </si>
  <si>
    <t>Egyéb önállóan vállalt közös önkormányzati hivatali feladatok</t>
  </si>
  <si>
    <t>Működési célú költségvetési támogatások és kiegészítő támogatások (B115)</t>
  </si>
  <si>
    <t>Elszámolásból származó bevételek (B116)</t>
  </si>
  <si>
    <t>4.11.</t>
  </si>
  <si>
    <t>Biztosító által fizetett kártérítés (B410)</t>
  </si>
  <si>
    <t>Egyéb működési bevételek (B411)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</si>
  <si>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</si>
  <si>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</si>
  <si>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</si>
  <si>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</si>
  <si>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9.5.</t>
  </si>
  <si>
    <t>Felhalmozási célú visszatérítendő támogatások, kölcsönök visszatérülése államháztartáson kívülről (B74)</t>
  </si>
  <si>
    <t>Egyéb felhalmozási célú átvett pénzeszközök (B75)</t>
  </si>
  <si>
    <r>
      <t xml:space="preserve">II/3.Felhalmozási célú átvett pénzeszközök (B7) </t>
    </r>
    <r>
      <rPr>
        <b/>
        <i/>
        <sz val="9"/>
        <rFont val="Times New Roman"/>
        <family val="1"/>
        <charset val="238"/>
      </rPr>
      <t>[9.1.+…+9.5.]</t>
    </r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</si>
  <si>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</si>
  <si>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</si>
  <si>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Hitel-, kölcsönfelvétel pénzügyi vállalkozástól (B811)</t>
  </si>
  <si>
    <r>
      <t xml:space="preserve">Belföldi finanszírozás bevételei (B81) </t>
    </r>
    <r>
      <rPr>
        <i/>
        <sz val="9"/>
        <rFont val="Times New Roman"/>
        <family val="1"/>
        <charset val="238"/>
      </rPr>
      <t>[=12.1.1.+…+12.1.9.]</t>
    </r>
  </si>
  <si>
    <t>12.1.9.</t>
  </si>
  <si>
    <t>Tulajdonosi kölcsönök bevételei (B819)</t>
  </si>
  <si>
    <t>12.4.</t>
  </si>
  <si>
    <t>Váltóbevételek (B84)</t>
  </si>
  <si>
    <r>
      <t xml:space="preserve">III/1. Működési célú finanszírozási bevételek (B81) </t>
    </r>
    <r>
      <rPr>
        <b/>
        <i/>
        <sz val="9"/>
        <rFont val="Times New Roman"/>
        <family val="1"/>
        <charset val="238"/>
      </rPr>
      <t>[=12.1.+…+12.4.]</t>
    </r>
  </si>
  <si>
    <t>14.1.9.</t>
  </si>
  <si>
    <r>
      <t xml:space="preserve">IV/1. Felhalmozási célú finanszírozási bevételek (B81) </t>
    </r>
    <r>
      <rPr>
        <b/>
        <i/>
        <sz val="9"/>
        <rFont val="Times New Roman"/>
        <family val="1"/>
        <charset val="238"/>
      </rPr>
      <t>[=14.1.+…+14.4.]</t>
    </r>
  </si>
  <si>
    <t>14.4.</t>
  </si>
  <si>
    <t>6.13.</t>
  </si>
  <si>
    <t>6.13.1.</t>
  </si>
  <si>
    <t>6.13.2.</t>
  </si>
  <si>
    <r>
      <t xml:space="preserve">I/5. Egyéb működési célú kiadások (K5) </t>
    </r>
    <r>
      <rPr>
        <b/>
        <i/>
        <sz val="9"/>
        <rFont val="Times New Roman"/>
        <family val="1"/>
        <charset val="238"/>
      </rPr>
      <t>[=6.1.+…+6.13.]</t>
    </r>
  </si>
  <si>
    <t>Működési célú támogatások az Európai Uniónak (K511)</t>
  </si>
  <si>
    <t>Egyéb működési célú támogatások államháztartáson kívülre (K512)</t>
  </si>
  <si>
    <r>
      <t>Tartalékok (K513)</t>
    </r>
    <r>
      <rPr>
        <i/>
        <sz val="9"/>
        <rFont val="Times New Roman"/>
        <family val="1"/>
        <charset val="238"/>
      </rPr>
      <t xml:space="preserve"> [=6.13.1.+6.13.2.]</t>
    </r>
  </si>
  <si>
    <t>Általános tartalék (K513)</t>
  </si>
  <si>
    <t>Céltartalék (K513)</t>
  </si>
  <si>
    <t>- ebből: Működési célú fejezeti kezelésű előirányzatok EU-s programok és azok hazai társfinanszírozása (K506)</t>
  </si>
  <si>
    <t>8.a.</t>
  </si>
  <si>
    <t>10.9.</t>
  </si>
  <si>
    <r>
      <t xml:space="preserve">II/3. Egyéb felhalmozási célú kiadások (K8) </t>
    </r>
    <r>
      <rPr>
        <b/>
        <i/>
        <sz val="9"/>
        <rFont val="Times New Roman"/>
        <family val="1"/>
        <charset val="238"/>
      </rPr>
      <t>[=10.1.+…+10.9.]</t>
    </r>
  </si>
  <si>
    <t>Felhalmozási célú támogatások az Európai Uniónak (K88)</t>
  </si>
  <si>
    <t>Egyéb felhalmozási célú támogatások államháztartáson kívülre  (K89)</t>
  </si>
  <si>
    <t>15.1.9.</t>
  </si>
  <si>
    <r>
      <t xml:space="preserve">IV/1. Felhalmozási célú finanszírozási kiadások (K91) </t>
    </r>
    <r>
      <rPr>
        <b/>
        <i/>
        <sz val="9"/>
        <rFont val="Times New Roman"/>
        <family val="1"/>
        <charset val="238"/>
      </rPr>
      <t>[=15.1.+…+15.4.]</t>
    </r>
  </si>
  <si>
    <t>Tulajdonosi kölcsönök kiadásai (K919)</t>
  </si>
  <si>
    <t>Váltókiadások (K94)</t>
  </si>
  <si>
    <t>15.4.</t>
  </si>
  <si>
    <t>13.4.</t>
  </si>
  <si>
    <r>
      <t xml:space="preserve">III/1. Működési célú finanszírozási kiadások (K91) </t>
    </r>
    <r>
      <rPr>
        <b/>
        <i/>
        <sz val="9"/>
        <rFont val="Times New Roman"/>
        <family val="1"/>
        <charset val="238"/>
      </rPr>
      <t>[=12.1.+…+12.4.]</t>
    </r>
  </si>
  <si>
    <r>
      <t xml:space="preserve">Belföldi finanszírozás kiadásai (K91) </t>
    </r>
    <r>
      <rPr>
        <i/>
        <sz val="9"/>
        <rFont val="Times New Roman"/>
        <family val="1"/>
        <charset val="238"/>
      </rPr>
      <t>[=13.1.1.+…+13.1.9.]</t>
    </r>
  </si>
  <si>
    <t>8.1.9.</t>
  </si>
  <si>
    <r>
      <t xml:space="preserve">Belföldi finanszírozás bevételei (B81) </t>
    </r>
    <r>
      <rPr>
        <i/>
        <sz val="9"/>
        <rFont val="Times New Roman"/>
        <family val="1"/>
        <charset val="238"/>
      </rPr>
      <t>[=8.1.1.+…+8.1.9.]</t>
    </r>
  </si>
  <si>
    <r>
      <t xml:space="preserve">Belföldi finanszírozás kiadásai (K91) </t>
    </r>
    <r>
      <rPr>
        <i/>
        <sz val="9"/>
        <rFont val="Times New Roman"/>
        <family val="1"/>
        <charset val="238"/>
      </rPr>
      <t>[=8.1.1.+…+8.1.9.]</t>
    </r>
  </si>
  <si>
    <r>
      <t xml:space="preserve">Működési célú finanszírozási kiadások (K91) </t>
    </r>
    <r>
      <rPr>
        <i/>
        <sz val="9"/>
        <rFont val="Times New Roman"/>
        <family val="1"/>
        <charset val="238"/>
      </rPr>
      <t>[=8.1.+…+8.4.]</t>
    </r>
  </si>
  <si>
    <r>
      <t xml:space="preserve">Működési célú finanszírozási bevételek (B81) </t>
    </r>
    <r>
      <rPr>
        <i/>
        <sz val="9"/>
        <rFont val="Times New Roman"/>
        <family val="1"/>
        <charset val="238"/>
      </rPr>
      <t>[=8.1.+…+8.4.]</t>
    </r>
  </si>
  <si>
    <r>
      <t xml:space="preserve">Felhalmozási célú finanszírozási bevételek (B81) </t>
    </r>
    <r>
      <rPr>
        <i/>
        <sz val="9"/>
        <rFont val="Times New Roman"/>
        <family val="1"/>
        <charset val="238"/>
      </rPr>
      <t>[=14.1.+…+14.3.]</t>
    </r>
  </si>
  <si>
    <r>
      <t xml:space="preserve">Felhalmozási célú finanszírozási kiadások (K91) </t>
    </r>
    <r>
      <rPr>
        <i/>
        <sz val="9"/>
        <rFont val="Times New Roman"/>
        <family val="1"/>
        <charset val="238"/>
      </rPr>
      <t>[=15.1.+…+15.4.]</t>
    </r>
  </si>
  <si>
    <t>3.7.</t>
  </si>
  <si>
    <t>3.8.</t>
  </si>
  <si>
    <t>3.9.</t>
  </si>
  <si>
    <t>3.10.</t>
  </si>
  <si>
    <t>3.11.</t>
  </si>
  <si>
    <t>3.12.</t>
  </si>
  <si>
    <t>TERVEZETT BERUHÁZÁSOK, FELÚJÍTÁSOK, PÁLYÁZATOK</t>
  </si>
  <si>
    <t>Felhalmozási célú  fejezeti kezelésű előirányzatok EU-s programok és azok hazai társfinanszírozása</t>
  </si>
  <si>
    <t>Felhalmozási célú  fejezeti kezelésű előirányzatok EU-s programok és azok hazai társfinanszírozása összesen:</t>
  </si>
  <si>
    <t>Adónem</t>
  </si>
  <si>
    <t>Decemer</t>
  </si>
  <si>
    <t>Iparüzési</t>
  </si>
  <si>
    <t>Mag.sz. komm.</t>
  </si>
  <si>
    <t>Építmény</t>
  </si>
  <si>
    <t>Gépjármű+egyéb</t>
  </si>
  <si>
    <t>Idegenforg.</t>
  </si>
  <si>
    <t>Pótlék, bírság</t>
  </si>
  <si>
    <t>Helyi adóból és a települési adóból származó bevétel</t>
  </si>
  <si>
    <t>Kezesség-, illetve garanciavállalással kapcsolatos megtérülés</t>
  </si>
  <si>
    <t>Kezesség-, illetve garanciavállalásból eredő fizetési kötelezettség</t>
  </si>
  <si>
    <r>
      <rPr>
        <vertAlign val="superscript"/>
        <sz val="9"/>
        <rFont val="Times New Roman CE"/>
        <charset val="238"/>
      </rPr>
      <t>2</t>
    </r>
    <r>
      <rPr>
        <sz val="9"/>
        <rFont val="Times New Roman CE"/>
        <charset val="238"/>
      </rPr>
      <t xml:space="preserve"> A tárgyévet követő 3. évtől a futamidő végéig változatlan összeggel.</t>
    </r>
  </si>
  <si>
    <r>
      <t xml:space="preserve">I/3. Működési bevételek (B4) </t>
    </r>
    <r>
      <rPr>
        <b/>
        <i/>
        <sz val="9"/>
        <rFont val="Times New Roman"/>
        <family val="1"/>
        <charset val="238"/>
      </rPr>
      <t>[=4.1.+…+4.11.]</t>
    </r>
  </si>
  <si>
    <r>
      <t xml:space="preserve">I/4. Működési célú átvett pénzeszközök (B6) </t>
    </r>
    <r>
      <rPr>
        <b/>
        <i/>
        <sz val="9"/>
        <rFont val="Times New Roman"/>
        <family val="1"/>
        <charset val="238"/>
      </rPr>
      <t>[=5.1.+…+5.5.]</t>
    </r>
  </si>
  <si>
    <r>
      <t xml:space="preserve">Belföldi finanszírozás bevételei (B811) </t>
    </r>
    <r>
      <rPr>
        <i/>
        <sz val="9"/>
        <rFont val="Times New Roman"/>
        <family val="1"/>
        <charset val="238"/>
      </rPr>
      <t>[=14.1.1.+…+14.1.9.]</t>
    </r>
  </si>
  <si>
    <r>
      <t xml:space="preserve">Belföldi finanszírozás kiadásai (K91) </t>
    </r>
    <r>
      <rPr>
        <i/>
        <sz val="9"/>
        <rFont val="Times New Roman"/>
        <family val="1"/>
        <charset val="238"/>
      </rPr>
      <t>[=15.1.1.+…+15.1.9.]</t>
    </r>
  </si>
  <si>
    <r>
      <t>VIS MAIOR TÁMOGATÁS</t>
    </r>
    <r>
      <rPr>
        <b/>
        <i/>
        <sz val="9"/>
        <rFont val="Times New Roman CE"/>
        <charset val="238"/>
      </rPr>
      <t xml:space="preserve"> [=1.]</t>
    </r>
  </si>
  <si>
    <r>
      <t>ÖNKORMÁNYZATI TÁMOGATÁSOK MINDÖSSZESEN:</t>
    </r>
    <r>
      <rPr>
        <b/>
        <i/>
        <sz val="9"/>
        <rFont val="Times New Roman CE"/>
        <charset val="238"/>
      </rPr>
      <t xml:space="preserve"> [A+B]</t>
    </r>
  </si>
  <si>
    <t>vár</t>
  </si>
  <si>
    <t>járulék</t>
  </si>
  <si>
    <t>bér</t>
  </si>
  <si>
    <t>Forintban !</t>
  </si>
  <si>
    <t>Kamatbevételek és más nyereségjellegű bevételek (B408)</t>
  </si>
  <si>
    <t>2026.</t>
  </si>
  <si>
    <t>HEVA Kft.</t>
  </si>
  <si>
    <t>Megyei önkormányzatok feladatainak támogatása</t>
  </si>
  <si>
    <t>Határátkelőhelyek fenntartásának támogatása</t>
  </si>
  <si>
    <t>A települési önkormányzatok szociális feladatainak egyéb támogatása</t>
  </si>
  <si>
    <t>Család- és gyermekjóléti szolgálat</t>
  </si>
  <si>
    <t>Család- és gyermekjóléti központ</t>
  </si>
  <si>
    <t>A települési önkormányzatok által biztosított egyes szociális szakosított ellátások, valamint a gyermekek átmeneti gondozásával kapcsolatos feladatok támogatása</t>
  </si>
  <si>
    <t>Az intézményi gyermekétkeztetés kapcsán az étkeztetési feladatot ellátók után járó bértámogatás</t>
  </si>
  <si>
    <t>Az intézményi gyermekétkeztetés üzemeltetési támogatása</t>
  </si>
  <si>
    <t>A települési önkormányzatok könyvtári célú érdekeltségnövelő támogatása</t>
  </si>
  <si>
    <t>BESZÁMÍTÁS, KIEGÉSZÍTÉS</t>
  </si>
  <si>
    <t>I.1.c) - V. Egyéb önkormányzati feladatok támogatása beszámítás, kiegészítés után</t>
  </si>
  <si>
    <t>Belterületi utak, járdák, hidak felújítása</t>
  </si>
  <si>
    <t>Járásszékhely múzeumok szakmai támogatása</t>
  </si>
  <si>
    <t>Önkormányzati étkeztetési fejlesztések támogatása</t>
  </si>
  <si>
    <t>Önkormányzatok rendkívüli támogatása</t>
  </si>
  <si>
    <t>Önkormányzati elszámolások</t>
  </si>
  <si>
    <t>Önkormányzatok és társulások igazgatási tevékenysége</t>
  </si>
  <si>
    <t>016030</t>
  </si>
  <si>
    <t>Állampolgársági ügyek</t>
  </si>
  <si>
    <t>Területi általános végrehajtó igazgatási tevékenység</t>
  </si>
  <si>
    <t>016080</t>
  </si>
  <si>
    <t>Kiemelt állami és önkormányzati rendezvények</t>
  </si>
  <si>
    <t>Nemzeti ünnepek programjai</t>
  </si>
  <si>
    <t>018030</t>
  </si>
  <si>
    <t>Támogatási célú finanszírozási műveletek</t>
  </si>
  <si>
    <t>Állat-egészségügyi ellátás</t>
  </si>
  <si>
    <t>Építésügy igazgatása</t>
  </si>
  <si>
    <t>044310</t>
  </si>
  <si>
    <t>Települési hulladék vegyes (ömlesztett) begyűjtése, szállítása, átrakása
begyűjtése, szállítása, átrakása</t>
  </si>
  <si>
    <t>072111</t>
  </si>
  <si>
    <t>Háziorvosi alapellátás</t>
  </si>
  <si>
    <t>Gyógyító-megelőző ellátások finanszírozása</t>
  </si>
  <si>
    <t>072112</t>
  </si>
  <si>
    <t>Háziorvosi ügyeleti ellátás</t>
  </si>
  <si>
    <t>Fogorvosi alapellátás</t>
  </si>
  <si>
    <t>Család és nővédelmi egészségügyi gondozás</t>
  </si>
  <si>
    <t>072311</t>
  </si>
  <si>
    <t>074031</t>
  </si>
  <si>
    <t>Család- és nővédelmi egészségügyi gondozás</t>
  </si>
  <si>
    <t>074032</t>
  </si>
  <si>
    <t>Ifjúság-egészségügyi gondozás</t>
  </si>
  <si>
    <t>081043</t>
  </si>
  <si>
    <t>Iskolai, diáksport-tevékenység és támogatása</t>
  </si>
  <si>
    <t>Szabadidős park, fürdő és strandszolgáltatás</t>
  </si>
  <si>
    <t>104042</t>
  </si>
  <si>
    <t>Család- és gyermekjóléti szolgáltatások</t>
  </si>
  <si>
    <t>Gyermekjóléti szolgáltatás</t>
  </si>
  <si>
    <t>Családsegítés</t>
  </si>
  <si>
    <t>Család és gyermekjóléti központ</t>
  </si>
  <si>
    <t>104043</t>
  </si>
  <si>
    <t>Intézményen kívüli gyermekétkeztetés</t>
  </si>
  <si>
    <t>104037</t>
  </si>
  <si>
    <t>Települési támogatás (gyógyszerkiadási támogatás)</t>
  </si>
  <si>
    <t>Települési támogatás (lakásfenntartási támogatás)</t>
  </si>
  <si>
    <t>Települési támogatás (temetési segély)</t>
  </si>
  <si>
    <t>Települési támogatás (egyéb rendkívüli támogatás)</t>
  </si>
  <si>
    <t>086030</t>
  </si>
  <si>
    <t>Nemzetközi kulturális együttműködés</t>
  </si>
  <si>
    <t>104060</t>
  </si>
  <si>
    <t>Hátrányos helyzetű kistérségek speciális komplex felzárkóztató programjai (TÁMOP Komplex)</t>
  </si>
  <si>
    <t>A gyermekek, fiatalok és családok életminőségét javító programok</t>
  </si>
  <si>
    <t>Építményüzemeltetés (intézmények)</t>
  </si>
  <si>
    <t>Kieg</t>
  </si>
  <si>
    <t>kieg</t>
  </si>
  <si>
    <t>Pmaradvány</t>
  </si>
  <si>
    <t>Veszélyes fák kivágása</t>
  </si>
  <si>
    <t>Gesztenyefák permetezése</t>
  </si>
  <si>
    <t>dologi</t>
  </si>
  <si>
    <t>út</t>
  </si>
  <si>
    <t>közv</t>
  </si>
  <si>
    <t>víz</t>
  </si>
  <si>
    <t>tem</t>
  </si>
  <si>
    <t>zöld</t>
  </si>
  <si>
    <t>á eü</t>
  </si>
  <si>
    <t>közf</t>
  </si>
  <si>
    <t>ig</t>
  </si>
  <si>
    <t>sportlét</t>
  </si>
  <si>
    <t>Az önkormányzati vagyonnal való gazdálkodással kapcsolatos feladatok</t>
  </si>
  <si>
    <t>106010</t>
  </si>
  <si>
    <t>Lakóingatlan bérbeadása, üzemeltetése (nem szociális célú)</t>
  </si>
  <si>
    <t>Lakóingatlan szociális célú bérbeadása, üzemeltetése</t>
  </si>
  <si>
    <t>nl ing üz</t>
  </si>
  <si>
    <t>ÁFA fizetendő!</t>
  </si>
  <si>
    <t>BER</t>
  </si>
  <si>
    <t>FEL</t>
  </si>
  <si>
    <t>Dél-Hevesi Kistérségi Társulás</t>
  </si>
  <si>
    <t>Heves Média Kft.</t>
  </si>
  <si>
    <t>Adósságrendezés során be nem jelentett hitelezői igények</t>
  </si>
  <si>
    <t>2011-2012.</t>
  </si>
  <si>
    <t>Fin</t>
  </si>
  <si>
    <t>3.13.</t>
  </si>
  <si>
    <t>ber</t>
  </si>
  <si>
    <t>3.14.</t>
  </si>
  <si>
    <t>2.7.</t>
  </si>
  <si>
    <t>HEVES VÁROS GYERMEKJÓLÉTI KÖZPONTJA ÉS CSALÁDSEGÍTŐ SZOLGÁLATA</t>
  </si>
  <si>
    <t>1.6. melléklet</t>
  </si>
  <si>
    <t>031030</t>
  </si>
  <si>
    <t>Közterület rendjének fenntartása</t>
  </si>
  <si>
    <t>Kormányzati és önkormányzati intézmények ellátó, kisegítő szolgálatai</t>
  </si>
  <si>
    <t>091110</t>
  </si>
  <si>
    <t>Óvodai nevelés, ellátás szakmai feladatai</t>
  </si>
  <si>
    <t>Óvodai nevelés</t>
  </si>
  <si>
    <t>096015</t>
  </si>
  <si>
    <t>Gyermekétkeztetés köznevelési intézményben</t>
  </si>
  <si>
    <t>104031</t>
  </si>
  <si>
    <t>104035</t>
  </si>
  <si>
    <t>Gyermekétkeztetés bölcsődében, fogyatékosok nappali intézményében</t>
  </si>
  <si>
    <t>Gyermekétkeztetés bölcsődésben és fogyatékosok nappali intézményében</t>
  </si>
  <si>
    <t>Óvodai intézményi étkeztetés</t>
  </si>
  <si>
    <t>Iskolai intézményi étkeztetés</t>
  </si>
  <si>
    <t>082042</t>
  </si>
  <si>
    <t>Könyvtári állomány gyarapítása, nyilvántartása</t>
  </si>
  <si>
    <t>Könyvtári szolgáltatások</t>
  </si>
  <si>
    <t>082044</t>
  </si>
  <si>
    <t>Múzeumi gyűjteményi tevékenység</t>
  </si>
  <si>
    <t>082061</t>
  </si>
  <si>
    <t>082091</t>
  </si>
  <si>
    <t>Közművelődés - közösségi és társadalmi részvétel fejlesztése</t>
  </si>
  <si>
    <t>Múzeumi állandó kiállítási tevékenység</t>
  </si>
  <si>
    <t>Közművelődési intézmények, közösségi színterek működtetése</t>
  </si>
  <si>
    <t>Intézményen kívüli gyermekétkeztetés (RGYK)</t>
  </si>
  <si>
    <t>Heves Város Gyermekjóléti Központja és Családsegítő Szolgálata kötelező feladatok</t>
  </si>
  <si>
    <t>Heves Város Gyermekjóléti Központja és Családsegítő Szolgálata önként vállalt feladatok</t>
  </si>
  <si>
    <t>Heves Város Gyermekjóléti Központja és Családsegítő Szolgálata állami (államigazgatási) feladatok</t>
  </si>
  <si>
    <t>Heves Város Gyermekjóléti Központja és Családsegítő Szolgálata összesen</t>
  </si>
  <si>
    <r>
      <rPr>
        <vertAlign val="superscript"/>
        <sz val="9"/>
        <rFont val="Times New Roman CE"/>
        <charset val="238"/>
      </rPr>
      <t>3</t>
    </r>
    <r>
      <rPr>
        <sz val="9"/>
        <rFont val="Times New Roman CE"/>
        <charset val="238"/>
      </rPr>
      <t xml:space="preserve"> Az adósságot keletkeztető ügyletekből eredő fizetési kötelezettségek, amelyekbe nem számítható be a naptári éven belül lejáró futamidejű adósságot keletkeztető ügylet, az európai uniós vagy nemzetközi szervezettől az önkormányzat által elnyert támogatás előfinanszírozásának biztosítására szolgáló adósságot keletkeztető ügyletből,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kezesség-, illetve garanciavállalásból eredő, jogosult által érvényesített fizetési kötelezettség összege.</t>
    </r>
  </si>
  <si>
    <t>Telekadó</t>
  </si>
  <si>
    <t>2027.</t>
  </si>
  <si>
    <t>TOP-3.1.1-15-HE1-2016-00006</t>
  </si>
  <si>
    <t>Kerékpárút fejlesztése Heves városában</t>
  </si>
  <si>
    <t>Kerékpáros fejlesztés Boconád, Heves és Tarnaméra községekben</t>
  </si>
  <si>
    <t>TOP-3.1.1-15-HE1-2016-00007</t>
  </si>
  <si>
    <t>(TÁMOGATÁSI INTENZÍTÁS 100%; MEGVALÓSÍTÁS FOLYAMATBAN)</t>
  </si>
  <si>
    <t>TOP-3.1.1-15-HE1-2016-00006 Kerékpárút fejlesztése Heves városában</t>
  </si>
  <si>
    <t>TOP-3.1.1-15-HE1-2016-00007 Kerékpáros fejlesztés Boconád, Heves és Tarnaméra községekben</t>
  </si>
  <si>
    <t>Önkormányzati hivatal működésének támogatása - elismert hivatali létszám alapján</t>
  </si>
  <si>
    <t xml:space="preserve"> Település-üzemeltetéshez kapcsolódó feladatellátás támogatása</t>
  </si>
  <si>
    <t>da)</t>
  </si>
  <si>
    <t>db)</t>
  </si>
  <si>
    <t>Szociális segítés</t>
  </si>
  <si>
    <t>Személyi gondozás</t>
  </si>
  <si>
    <t>Családi bölcsőde</t>
  </si>
  <si>
    <t>Támogató szolgáltatás</t>
  </si>
  <si>
    <t>m)</t>
  </si>
  <si>
    <t>Közösségi alapellátások</t>
  </si>
  <si>
    <t>A rászoruló gyermekek szünidei étkeztetésének támogatása</t>
  </si>
  <si>
    <t xml:space="preserve">Megyei hatókörű városi múzeumok feladatainak támogatása 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</si>
  <si>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</si>
  <si>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</si>
  <si>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</si>
  <si>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</si>
  <si>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A kéményseprő-ipari közszolgáltatás helyi önkormányzat általi ellátásának támogatása</t>
  </si>
  <si>
    <t>Pécs Megyei Jogú Város Önkormányzat kulturális feladatainak támogatása</t>
  </si>
  <si>
    <t>A nem közművel összegyűjtött háztartási szennyvíz ideiglenes begyűjtésére kijelölt közérdekű közszolgáltató meg nem térülő költségeinek támogatása</t>
  </si>
  <si>
    <t>A települési önkormányzatok szociális célú tüzelőanyag vásárlásához kapcsolódó támogatása</t>
  </si>
  <si>
    <t>Pannon Park beruházási projekt támogatása</t>
  </si>
  <si>
    <t>Veszprém Aréna építési beruházásával összefüggő tőke- és kamattörlesztő-részletek átvállalásának támogatása</t>
  </si>
  <si>
    <t>Normafa Park kiemelt beruházás támogatása</t>
  </si>
  <si>
    <t>Ingatlanvásárlás Heves Városért Közalapítványtól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</si>
  <si>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</si>
  <si>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</si>
  <si>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</si>
  <si>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</si>
  <si>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</si>
  <si>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</si>
  <si>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</si>
  <si>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</si>
  <si>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</si>
  <si>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</si>
  <si>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P</t>
  </si>
  <si>
    <t>Q</t>
  </si>
  <si>
    <t>R</t>
  </si>
  <si>
    <t>Közfoglalkoztatás, szociális juttatások (szociális bérlakás üzemeltetése is)</t>
  </si>
  <si>
    <t>Bölcsödei ellátás</t>
  </si>
  <si>
    <t>Könyvtári szolgáltatások és közművelődési feladatok</t>
  </si>
  <si>
    <t>IX.</t>
  </si>
  <si>
    <t xml:space="preserve"> Működési célú átvett pénzeszközök / működési finanszírozási bevételek</t>
  </si>
  <si>
    <t>Felhalmozási célú átvett pénzeszközök / felhalmozási finanszírozási bevételek</t>
  </si>
  <si>
    <t>Egyéb működési célú kiadások / működési finanszírozási kiadások</t>
  </si>
  <si>
    <t>Egyéb felhalmozási célú kiadások / felhalmozási finanszírozási kiadások</t>
  </si>
  <si>
    <t>Intézményi gyermekétkeztetés</t>
  </si>
  <si>
    <t>Gyermekjóléti szolgáltatás, családsegítés</t>
  </si>
  <si>
    <t>Szoc. Pótl.</t>
  </si>
  <si>
    <t>Bérkomp.</t>
  </si>
  <si>
    <t>Hiv műk Tenk</t>
  </si>
  <si>
    <t>Felnőtt (saját dolgozó, vendég)</t>
  </si>
  <si>
    <t>Könyvtám</t>
  </si>
  <si>
    <t>Bérek (közf., zöldter. Stb.)</t>
  </si>
  <si>
    <t>Ingatlanvásárlás városfejlesztési feladatokhoz</t>
  </si>
  <si>
    <t>Pályázatok előkészítése, megvalósíthatósági tanulmányok, tervek (engedélyes, kiviteli)</t>
  </si>
  <si>
    <t>Rendezési terv felülvizsgálata</t>
  </si>
  <si>
    <t>Eszközbeszerzések (éjjelltátó, hőkamera, földmérő készülék)</t>
  </si>
  <si>
    <t>Kisértékű eszközbeszerzések</t>
  </si>
  <si>
    <t>Büntetésvégrehajtási intézet beruházásához vállalt fejlesztési kötelezettségek</t>
  </si>
  <si>
    <t>Heves Megyei Diák- és Szabadidősport Egyesület</t>
  </si>
  <si>
    <t>Az elmúlt évek szervezeti átalakításai miatt a parkfenntartási feladatokat közvetlenül a Városgondnokság végzi . A felmerülő feladatok jelentős részét közfoglalkoztatottak bevonásával látjuk el.</t>
  </si>
  <si>
    <t>2.8.</t>
  </si>
  <si>
    <t>Rákóczi Szövetség</t>
  </si>
  <si>
    <t xml:space="preserve"> „Beiratkozási Program”</t>
  </si>
  <si>
    <t>Heves Városért Közalapítvány *</t>
  </si>
  <si>
    <t>* ingatlanvásárlás részletfizetése kamataként</t>
  </si>
  <si>
    <t>23=3+…+22</t>
  </si>
  <si>
    <t>2018. ÉVI FELHALMOZÁSI CÉLÚ KIADÁSAI</t>
  </si>
  <si>
    <t>Gyermekek bölcsődében és mini bölcsődében történő ellátása</t>
  </si>
  <si>
    <t>Város-, községgazdálkodási m.n.s. szolgáltatások  (KEHOP-2.2.1)</t>
  </si>
  <si>
    <t>Város-, községgazdálkodási m.n.s. szolgáltatások (KEHOP-2.2.1-15-2015-00024 Solt szennyvíztisztitó telep korszerűsítése, tisztított szennyvíz Duna sodorvonali bevezetésével)</t>
  </si>
  <si>
    <r>
      <t xml:space="preserve"> A HELYI ÖNKORMÁNYZATOK MŰKÖDÉSÉNEK ÁLTALÁNOS TÁMOGATÁSA </t>
    </r>
    <r>
      <rPr>
        <b/>
        <i/>
        <sz val="9"/>
        <rFont val="Times New Roman CE"/>
        <charset val="238"/>
      </rPr>
      <t>[1.+…+6.]</t>
    </r>
  </si>
  <si>
    <t>Polgármesteri illetmény támogatása</t>
  </si>
  <si>
    <t>Kiegészítő támogatás az óvodapedagógusok és a pedagógus szakképzettséggel rendelkező segítők minősítéséből adódó többletkiadásokhoz</t>
  </si>
  <si>
    <t>Óvodai és iskolai szociális segítő tevékenység támogatása</t>
  </si>
  <si>
    <t>n)</t>
  </si>
  <si>
    <t>Bölcsőde, mini bölcsőde támogatása</t>
  </si>
  <si>
    <t>Bölcsődei üzemeltetési támogatás</t>
  </si>
  <si>
    <t>Megyei hatókörű városi könyvtár kistelepülési könyvtári célú kiegészítő támogatása</t>
  </si>
  <si>
    <t>Kulturális illetménypótlék</t>
  </si>
  <si>
    <r>
      <t xml:space="preserve">A TELEPÜLÉSI ÖNKORMÁNYZATOK KULTURÁLIS FELADATAINAK TÁMOGATÁSA </t>
    </r>
    <r>
      <rPr>
        <b/>
        <i/>
        <sz val="9"/>
        <rFont val="Times New Roman CE"/>
        <charset val="238"/>
      </rPr>
      <t>[1.+2.+3.]</t>
    </r>
  </si>
  <si>
    <t>Jó adatszolgáltató önkormányzatok támogatása</t>
  </si>
  <si>
    <r>
      <t>A HELYI ÖNKORMÁNYZATOK KIEGÉSZÍTŐ TÁMOGATÁSAI</t>
    </r>
    <r>
      <rPr>
        <b/>
        <i/>
        <sz val="9"/>
        <rFont val="Times New Roman CE"/>
        <charset val="238"/>
      </rPr>
      <t xml:space="preserve"> [I.+II.+III.]</t>
    </r>
  </si>
  <si>
    <t>Békásmegyeri vásárcsarnok építése</t>
  </si>
  <si>
    <t>Normafa Park történelmi sportterület megvalósításának támogatása</t>
  </si>
  <si>
    <t>A közterület használati díjak 2017. évben nem emelkedtek, ennek megfelelően az elmúlt évi bevételekkel terveztünk.</t>
  </si>
  <si>
    <t>KÖFOP-1.2.1-VEKOP-16-2017-00715</t>
  </si>
  <si>
    <t>Heves Város Önkormányzata ASP központhoz való csatlakozása</t>
  </si>
  <si>
    <t>5. EU-s projekt azonosítója, neve:</t>
  </si>
  <si>
    <t>6. EU-s projekt azonosítója, neve:</t>
  </si>
  <si>
    <t xml:space="preserve"> TOP-1.2.1-15-HE1-2016-00005</t>
  </si>
  <si>
    <t xml:space="preserve">a Halász-kúria turisztikai fejlesztése Heves Városban </t>
  </si>
  <si>
    <t>7. EU-s projekt azonosítója, neve:</t>
  </si>
  <si>
    <t xml:space="preserve"> TOP-1.4.1-15-HE1-2016-00018</t>
  </si>
  <si>
    <t>8. EU-s projekt azonosítója, neve:</t>
  </si>
  <si>
    <t xml:space="preserve"> TOP-2.1.2-15-HE1-2016-00004</t>
  </si>
  <si>
    <t>Heves Városi Óvodák és Bölcsőde Köznevelési Intézmény Arany János úti Óvoda és Bölcsőde infrastrukturális fejlesztése</t>
  </si>
  <si>
    <t>Heves Város Zöld szíve</t>
  </si>
  <si>
    <t>9. EU-s projekt azonosítója, neve:</t>
  </si>
  <si>
    <t xml:space="preserve"> TOP-3.2.1-15-HE1-2016-00011</t>
  </si>
  <si>
    <t>10. EU-s projekt azonosítója, neve:</t>
  </si>
  <si>
    <t>TOP-5.2.1-15-HE1-2016-00004</t>
  </si>
  <si>
    <t>Heves város Újtelep alapellátás rendelőinek energetikai fejlesztése</t>
  </si>
  <si>
    <t>11. EU-s projekt azonosítója, neve:</t>
  </si>
  <si>
    <t>TOP-5.1.2-15-HE1-2016-00001</t>
  </si>
  <si>
    <t>12. EU-s projekt azonosítója, neve:</t>
  </si>
  <si>
    <t>TOP-3.2.2-15-HE1-2016-00003</t>
  </si>
  <si>
    <t>Foglalkoztatási együttműködések kialakítása a dél-hevesi térségben</t>
  </si>
  <si>
    <t>Heves Város középületeinek energetikai megújuló energiaforrások kiaknázásával</t>
  </si>
  <si>
    <t>13. EU-s projekt azonosítója, neve:</t>
  </si>
  <si>
    <t>TOP-4.2.1-15-HE1-2016-00014</t>
  </si>
  <si>
    <t>14. EU-s projekt azonosítója, neve:</t>
  </si>
  <si>
    <t>KEHOP-2.2.1-15-2015-00024</t>
  </si>
  <si>
    <t>Dél-Hevesi Kistérség Gyermekjóléti Központja és Családsegítő Szolgálatának fejlesztése</t>
  </si>
  <si>
    <t>Solt szennyvíztisztitó telep korszerűsítése, tisztított szennyvíz Duna sodorvonali bevezetésével</t>
  </si>
  <si>
    <t>(TÁMOGATÁSI INTENZÍTÁS 86,996106%; MEGVALÓSÍTÁS FOLYAMATBAN)</t>
  </si>
  <si>
    <t>Kerekerdő óvoda tornaszobával történő fejlesztés (önerő)</t>
  </si>
  <si>
    <t>Utcanévtáblák elkészítése és kihelyzése</t>
  </si>
  <si>
    <t>KÖFOP-1.2.1-VEKOP-16-2017-00715 Heves Város Önkormányzata ASP központhoz való csatlakozása</t>
  </si>
  <si>
    <t>TOP-1.4.1-15-HE1-2016-00018 Heves Városi Óvodák és Bölcsőde Köznevelési Intézmény Arany János úti Óvoda és Bölcsőde infrastrukturális fejlesztése</t>
  </si>
  <si>
    <t>TOP-2.1.2-15-HE1-2016-00004 Heves Város Zöld szíve</t>
  </si>
  <si>
    <t>TOP-3.2.2-15-HE1-2016-00003 Heves Város középületeinek energetikai megújuló energiaforrások kiaknázásával</t>
  </si>
  <si>
    <t>TOP-4.2.1-15-HE1-2016-00014 Dél-Hevesi Kistérség Gyermekjóléti Központja és Családsegítő Szolgálatának fejlesztése</t>
  </si>
  <si>
    <t>KEHOP-2.2.1-15-2015-00024 Solt szennyvíztisztitó telep korszerűsítése, tisztított szennyvíz Duna sodorvonali bevezetésével</t>
  </si>
  <si>
    <t>TOP-3.2.1-15-HE1-2016-00011 Heves város Újtelep alapellátás rendelőinek energetikai fejlesztése</t>
  </si>
  <si>
    <t>Önkormányzati jogalkotás (polgármester)</t>
  </si>
  <si>
    <t>Hevesi Fúvószenekar</t>
  </si>
  <si>
    <t>Fejlesztési hitel (tervezett hitelfelvétel - Kerekerdő óvoda tornaszoba önerő)</t>
  </si>
  <si>
    <t>TOP-1.2.1-15-HE1-2016-00005 a Halász-kúria turisztikai fejlesztése Heves Városban</t>
  </si>
  <si>
    <t>TOP-5.2.1-15-HE1-2016-00004 Komplex társadalmi együttműködési program Heves városában</t>
  </si>
  <si>
    <t>TOP-5.1.2-15-HE1-2016-00001 Foglalkoztatási együttműködések kialakítása a dél-hevesi térségben</t>
  </si>
  <si>
    <t>Mcélú ÁHB/ÁHK</t>
  </si>
  <si>
    <t>Cafetéria</t>
  </si>
  <si>
    <t>Támogatások, egyéb bevételek, kiadások (rendezés)</t>
  </si>
  <si>
    <t>Kerekerdő óvoda tornaszobával történő fejlesztés</t>
  </si>
  <si>
    <t>ADÓSSÁGOT KELETKEZTETŐ ÜGYLETEK 2018. ÉVI VÁRHATÓ EGYÜTTES ÖSSZEGE</t>
  </si>
  <si>
    <t>999000</t>
  </si>
  <si>
    <t>960302</t>
  </si>
  <si>
    <t>680001</t>
  </si>
  <si>
    <t>682002</t>
  </si>
  <si>
    <t>811000</t>
  </si>
  <si>
    <t>750000</t>
  </si>
  <si>
    <t>862211</t>
  </si>
  <si>
    <t>813000</t>
  </si>
  <si>
    <t>862301</t>
  </si>
  <si>
    <t>931102</t>
  </si>
  <si>
    <t>562918</t>
  </si>
  <si>
    <t>680003</t>
  </si>
  <si>
    <t>932911</t>
  </si>
  <si>
    <t>562917</t>
  </si>
  <si>
    <t>562912</t>
  </si>
  <si>
    <t>562913</t>
  </si>
  <si>
    <t>889101</t>
  </si>
  <si>
    <t>889103</t>
  </si>
  <si>
    <t>910210</t>
  </si>
  <si>
    <t>910502</t>
  </si>
  <si>
    <t>889201</t>
  </si>
  <si>
    <t>889924</t>
  </si>
  <si>
    <t>493102</t>
  </si>
  <si>
    <t>A gyermekek, fiatalok és családok életminőségét javító programok (EFOP-1.2.9-17 Nők a családban és a munkahelyen)</t>
  </si>
  <si>
    <t>013370</t>
  </si>
  <si>
    <t>Informatikai fejlesztések, szolgáltatások (KÖFOP-1.2.1-VEKOP-16-2017-00715 Heves Város Önkormányzata ASP központhoz való csatlakozása)</t>
  </si>
  <si>
    <t>Városi és elővárosi közúti személyszállítás (TOP-3.1.1-15-HE1-2016-00006 Kerékpárút fejlesztése Heves városában)</t>
  </si>
  <si>
    <t>Városi és elővárosi közúti személyszállítás (TOP-3.1.1-15-HE1-2016-00007 Kerékpáros fejlesztés Boconád, Heves és Tarnaméra községekben)</t>
  </si>
  <si>
    <t>Városi és elővárosi közúti személyszállítás (TOP-3.1.1-16-HE1-2017-00003 Kerékpáros fejlesztés Heves és Hevesvezekény településeken)</t>
  </si>
  <si>
    <t>Turizmusfejlesztési támogatások és tevékenységek (TOP 1.2.1.)</t>
  </si>
  <si>
    <t>Turizmusfejlesztési támogatások és tevékenységek (TOP-1.2.1-15-HE1-2016-00005 a Halász-kúria turisztikai fejlesztése Heves Városban)</t>
  </si>
  <si>
    <t>047320</t>
  </si>
  <si>
    <t>A gyermekek, fiatalok és családok életminőségét javító programok (EFOP 1.2.9)</t>
  </si>
  <si>
    <t>Óvodai nevelés (TOP-1.4.1-15-HE1-2016-00018 Heves Városi Óvodák és Bölcsőde Köznevelési Intézmény Arany János úti Óvoda és Bölcsőde infrastrukturális fejlesztése)</t>
  </si>
  <si>
    <t>Óvodai nevelés, ellátás szakmai feladatai (TOP 1.4.1.)</t>
  </si>
  <si>
    <t>Városi és elővárosi közúti személyszállítás (TOP 3.1.1.)</t>
  </si>
  <si>
    <t>Informatikai fejlesztések, szolgáltatások (KÖFOP-1.2.1.)</t>
  </si>
  <si>
    <t>062020</t>
  </si>
  <si>
    <t>Településfejlesztési projektek és támogatásuk (TOP 2.1.2.)</t>
  </si>
  <si>
    <t>Településfejlesztési projektek és támogatásuk ( TOP-2.1.2-15-HE1-2016-00004 Heves Város Zöld szíve)</t>
  </si>
  <si>
    <t>Nem lakóingatlan bérbeadása, üzemeltetése (TOP-3.2.1-15-HE1-2016-00011 Heves város Újtelep alapellátás rendelőinek energetikai fejlesztése)</t>
  </si>
  <si>
    <t>Az önkormányzati vagyonnal való gazdálkodással kapcsolatos feladatok (TOP 3.2.1.)</t>
  </si>
  <si>
    <t>105020</t>
  </si>
  <si>
    <t>Foglalkoztatást elősegítő képzések és egyéb támogatások ( TOP-5.1.2-15-HE1-2016-00001 Foglalkoztatási együttműködések kialakítása a dél-hevesi térségben)</t>
  </si>
  <si>
    <t>Foglalkoztatást elősegítő képzések és egyéb támogatások  (TOP 5.1.2.)</t>
  </si>
  <si>
    <t>Nem lakóingatlan bérbeadása, üzemeltetése (TOP-3.2.2-15-HE1-2016-00003 Heves Város középületeinek energetikai megújuló energiaforrások kiaknázásával)</t>
  </si>
  <si>
    <t>Az önkormányzati vagyonnal való gazdálkodással kapcsolatos feladatok (TOP 3.2.2.)</t>
  </si>
  <si>
    <t>Család- és gyermekjóléti szolgáltatások  (TOP 4.2.1.)</t>
  </si>
  <si>
    <t>Gyermekjóléti szolgáltatás (TOP-4.2.1-15-HE1-2016-00014 Dél-Hevesi Kistérség Gyermekjóléti Központja és Családsegítő Szolgálatának fejlesztése)</t>
  </si>
  <si>
    <t>Településfejlesztési projektek és támogatásuk (TOP-5.2.1-15-HE1-2016-00004 Komplex társadalmi együttműködési program Heves városában)</t>
  </si>
  <si>
    <t>Településfejlesztési projektek és támogatásuk (TOP 5.2.1.)</t>
  </si>
  <si>
    <t>2019. ÉVI ÖSSZESÍTETT KÖLTSÉGVETÉSI MÉRLEGE</t>
  </si>
  <si>
    <t>2019. évi előirányzat</t>
  </si>
  <si>
    <t xml:space="preserve"> 2019. ÉVI LÉTSZÁMKERET</t>
  </si>
  <si>
    <t>2019. ÉVI KÖLTSÉGVETÉSI MÉRLEGE</t>
  </si>
  <si>
    <t>2019. ÉVI MŰKÖDÉSI CÉLÚ BEVÉTELEK ÉS KIADÁSOK MÉRLEGE</t>
  </si>
  <si>
    <t>2019. ÉVI FELHALMOZÁSI CÉLÚ BEVÉTELEK ÉS KIADÁSOK MÉRLEGE</t>
  </si>
  <si>
    <t xml:space="preserve"> 2019. ÉVI ENGEDÉLYEZETT LÉTSZÁM ELŐIRÁNYZATA</t>
  </si>
  <si>
    <t>2019. évi létszám előirányzat (fő)</t>
  </si>
  <si>
    <t>2021. után</t>
  </si>
  <si>
    <t>2019. előtt</t>
  </si>
  <si>
    <t>Önkormányzaton kívüli EU-s projektekhez történő hozzájárulás 2019. évi előirányzata</t>
  </si>
  <si>
    <t>2019. előtti kifizetés</t>
  </si>
  <si>
    <t>Az önkormányzat által adott 2019. évi közvetett támogatások</t>
  </si>
  <si>
    <t>2019. évi tervezett kedvezmény nélkül elérhető bevétel</t>
  </si>
  <si>
    <t>2019. évi tervezett kedvezmények összege</t>
  </si>
  <si>
    <t>Előirányzat-felhasználási ütemterv 2019. évre (tervezett adatok alapján)</t>
  </si>
  <si>
    <t>2018. évi várható teljesítés</t>
  </si>
  <si>
    <t>2017. évi teljesítés</t>
  </si>
  <si>
    <t>HEVES VÁROS ÖNKORMÁNYZATA 2019. ÉVI ÖNKORMÁNYZATI TÁMOGATÁSAI</t>
  </si>
  <si>
    <t>Felhasználás 2019. előtt</t>
  </si>
  <si>
    <t>2019. év utáni szükséglet</t>
  </si>
  <si>
    <t>Heves Város Gyermekjóléti Központja és Családsegítő Szolgálata beruházásai</t>
  </si>
  <si>
    <t>Heves Város Gyermekjóléti Központja és Családsegítő Szolgálata beruházásai összesen:</t>
  </si>
  <si>
    <t>Heves Város Gyermekjóléti Központja és Családsegítő Szolgálata  felújításai</t>
  </si>
  <si>
    <t>Heves Város Gyermekjóléti Központja és Családsegítő Szolgálata  felújításai összesen:</t>
  </si>
  <si>
    <t>Heves Városi Mezei Őrszolgálat felújításai összesen:</t>
  </si>
  <si>
    <t>Heves Város Gyermekjóléti Központja és Családsegítő Szolgálata egyéb felhalmozási célú kiadásai</t>
  </si>
  <si>
    <t>Heves Város Gyermekjóléti Központja és Családsegítő Szolgálata egyéb felhalmozási célú kiadásai összesen:</t>
  </si>
  <si>
    <t>2019. ÉVI CÉLJELEGGEL NYÚJTOTT TÁMOGATÁSOK, ÁTADOTT PÉNZEK</t>
  </si>
  <si>
    <t>2019. évi működési költségvetés előirányzata</t>
  </si>
  <si>
    <t>2019. évi felhalmozási költségvetés előirányzata</t>
  </si>
  <si>
    <t>2019. évi költségvetés</t>
  </si>
  <si>
    <t>......................, 2019. .......................... hó ..... nap</t>
  </si>
  <si>
    <t>Gyermekétkeztetés, munkahelyi étkeztetés, egyéb vendéglátás nyersanyagnormája és térítési díja 2019. január 1-től</t>
  </si>
  <si>
    <t>Heves Város Önkormányzata saját bevételeinek, valamint az adósságot keletkeztető ügyletekből származó fizetési kötelezettségeinek várható alakulása  2019-2022. években</t>
  </si>
  <si>
    <t>Az önkormányzati vagyonnal való gazdálkodással kapcsolatos feladatok (TOP 1.1.1.)</t>
  </si>
  <si>
    <t>Nem lakóingatlan bérbeadása, üzemeltetése (TOP-1.1.1-16HE1-2017-00002 Iparterület kialakítása Heves Városban)</t>
  </si>
  <si>
    <t>Turizmusfejlesztési támogatások és tevékenységek (TOP-1.2.1-16-HE1-2017-00010 Az első magyar sakkmúzeum fejlesztése Hevesen)</t>
  </si>
  <si>
    <t>Településfejlesztési projektek és támogatásuk ( TOP-4.3.1-15HE1-2016-00014 Leromlott területek rehabilitációja Heves városban)</t>
  </si>
  <si>
    <t>Településfejlesztési projektek és támogatásuk (TOP 4.3.1.)</t>
  </si>
  <si>
    <t>076010</t>
  </si>
  <si>
    <t>Egészségügy igazgatása (EFOP 1.8.2.)</t>
  </si>
  <si>
    <t>Egészségügy igazgatása (EFOP -1.8.2-17-2017-00006 Praxisközösség létrehozása a Hevesi járásban)</t>
  </si>
  <si>
    <t>107080</t>
  </si>
  <si>
    <t>Esélyegyenlőség elősegítését célzó tevékenységek és programok (EFOP 1.5.3.)</t>
  </si>
  <si>
    <t>095020</t>
  </si>
  <si>
    <t>Iskolarendszeren kívüli egyéb oktatás, képzés (EFOP 3.9.2.)</t>
  </si>
  <si>
    <t>855900</t>
  </si>
  <si>
    <t>Iskolarendszeren kívüli egyéb oktatás, képzés (EFOP -3.9.2-16-2017-00024 Humán szolgáltatások fejlesztése a Hevesi járásban)</t>
  </si>
  <si>
    <t>Esélyegyenlőség elősegítését célzó tevékenységek és programok (EFOP -1.5.3-16-2017-00108 Humán kapacitások fejlesztése a Hevesi járásban)</t>
  </si>
  <si>
    <t>A gyermekek, fiatalok és családok életminőségét javító programok (EFOP 1.4.2.)</t>
  </si>
  <si>
    <t>Hátrányos helyzetű kistérségek speciális komplex felzárkóztató programjai (EFOP-1.4.2-16-2016-00030)</t>
  </si>
  <si>
    <t>Turizmusfejlesztési támogatások és tevékenységek (TOP-1.2.1-16-HE1-2017-00009 Ökoturisztikai fejlesztés Heves Városban)</t>
  </si>
  <si>
    <t>047120</t>
  </si>
  <si>
    <t>Piac üzemeltetése (TOP-1.1.3-16-HE1-2017-00007 A helyi gazdaság fejlesztése Heves városban)</t>
  </si>
  <si>
    <t>Piac üzemeltetése (TOP 1.1.3.)</t>
  </si>
  <si>
    <t>Településfejlesztési projektek és támogatásuk (TOP-2.1.2-16-HE1-2017-00001 A hevesi Vicán-tó és környezetének fejlesztése)</t>
  </si>
  <si>
    <t>Esélyegyenlőség elősegítését célzó tevékenységek és programok (EFOP 2.1.2.)</t>
  </si>
  <si>
    <t>Esélyegyenlőség elősegítését célzó tevékenységek és programok (EFOP-2.1.2-16-2017-00015 Gyerekesély programok infrastrukturális háttere a Hevesi járásban)</t>
  </si>
  <si>
    <t>A költségvetési szerveknél foglalkoztatottak 2018. évi áthúzódó és 2019. évi kompenzációja</t>
  </si>
  <si>
    <t>Az óvodában foglalkoztatott pedagógusok és az e pedagógusok nevelőmunkáját közvetlenül segítők bértámogatása</t>
  </si>
  <si>
    <r>
      <t>A TELEPÜLÉSI ÖNKORMÁNYZATOK EGYES KÖZNEVELÉSI FELADATAINAK TÁMOGATÁSA</t>
    </r>
    <r>
      <rPr>
        <b/>
        <i/>
        <sz val="9"/>
        <rFont val="Times New Roman CE"/>
        <charset val="238"/>
      </rPr>
      <t xml:space="preserve"> [1.+…+5.]</t>
    </r>
  </si>
  <si>
    <t>Nemzetiségi pótlék</t>
  </si>
  <si>
    <t>Szociális ágazati összevont pótlék és egészségügyi kiegészítő pótlék</t>
  </si>
  <si>
    <t>o)</t>
  </si>
  <si>
    <t>Kiegészítő fajlagos összegek</t>
  </si>
  <si>
    <t>oa)</t>
  </si>
  <si>
    <t>ob)</t>
  </si>
  <si>
    <t>Kiegészítő fajlagos összegek az a) és b) alpontok szerinti támogatásokhoz</t>
  </si>
  <si>
    <t>Kiegészítő fajlagos összegek a db), e) és k)-m) alpontok szerinti támogatásokhoz</t>
  </si>
  <si>
    <t>Kiegészítő fajlagos összeg az a) alpont szerinti támogatáshoz</t>
  </si>
  <si>
    <t>Intézményi gyermekétkeztetés támogatása</t>
  </si>
  <si>
    <t>aa)</t>
  </si>
  <si>
    <t>ab)</t>
  </si>
  <si>
    <t>Gyermekétkeztetés támogatása</t>
  </si>
  <si>
    <r>
      <t xml:space="preserve">A TELEPÜLÉSI ÖNKORMÁNYZATOK SZOCIÁLIS, GYERMEKJÓLÉTI ÉS GYERMEKÉTKEZTETÉSI FELADATAINAK TÁMOGATÁSA </t>
    </r>
    <r>
      <rPr>
        <b/>
        <i/>
        <sz val="9"/>
        <rFont val="Times New Roman CE"/>
        <charset val="238"/>
      </rPr>
      <t xml:space="preserve"> [1.+...+6.]</t>
    </r>
  </si>
  <si>
    <t>Kiegyenlítő bérrendezési alap</t>
  </si>
  <si>
    <r>
      <t xml:space="preserve">HELYI ÖNKORMÁNYZATOK MŰKÖDÉSI CÉLÚ KÖLTSÉGVETÉSI TÁMOGATÁSAI </t>
    </r>
    <r>
      <rPr>
        <b/>
        <i/>
        <sz val="9"/>
        <rFont val="Times New Roman CE"/>
        <charset val="238"/>
      </rPr>
      <t>[1.+12.]</t>
    </r>
  </si>
  <si>
    <t>Bölcsődei, mini bölcsődei férőhelyek kialakításának támogatása</t>
  </si>
  <si>
    <t>Makói Városi Termál- és Gyógyfürdő (Hagymatikum) fejlesztésének támogatása</t>
  </si>
  <si>
    <t>Budapest I. kerület Budavári Önkormányzat felújítási feladatainak támogatása</t>
  </si>
  <si>
    <t>Hatvani sport- és rendezvénycsarnok beruházás megvalósításának támogatása</t>
  </si>
  <si>
    <t>Fürdőberuházás megvalósításának támogatása Bogácson</t>
  </si>
  <si>
    <t>Fürdőberuházás megvalósításának támogatása Mezőcsáton</t>
  </si>
  <si>
    <t>Épület közösségi célú felújításának támogatása Vattán</t>
  </si>
  <si>
    <t>Csincsei művelődési ház bővítésének támogatása</t>
  </si>
  <si>
    <t>Zalaapáti Község Önkormányzatának támogatása</t>
  </si>
  <si>
    <t>Klauzál tér felújítása projekt előkészítésének támogatása</t>
  </si>
  <si>
    <t>Kállósemjéni bölcsőde beruházás támogatása</t>
  </si>
  <si>
    <t>A Budapest IX. kerületi MÁV-Aszódi telep vízhálózata fejlesztésének támogatása</t>
  </si>
  <si>
    <t>A Budapest IX. kerületi MÁV-Aszódi telepen a közvilágítás kiépítésének támogatása</t>
  </si>
  <si>
    <t>Golgota téri Stáció helyreállításának támogatása</t>
  </si>
  <si>
    <t>Józsefvárosi strand- és gyógyfürdő beruházás előkészítésének támogatása</t>
  </si>
  <si>
    <t>HELYI ÖNKORMÁNYZATOK FELHALMOZÁSI CÉLÚ KÖLTSÉGVETÉSI TÁMOGATÁSAI [1.+25.]</t>
  </si>
  <si>
    <t>fel nem használt szockieg (ha -)</t>
  </si>
  <si>
    <t>Városüzemeltetési feladatok 2019.</t>
  </si>
  <si>
    <t xml:space="preserve">Az útkarbantartási feladatokat (kátyúzás, burkolati jelek felfestése, járdafelújítás, KRESZ táblák cseréje) a Heva Kft, és külső cégekkek tervezzük megvalósítani. </t>
  </si>
  <si>
    <r>
      <rPr>
        <b/>
        <u/>
        <sz val="9"/>
        <rFont val="Times New Roman"/>
        <family val="1"/>
        <charset val="238"/>
      </rPr>
      <t>Járdafelújítás</t>
    </r>
    <r>
      <rPr>
        <b/>
        <sz val="9"/>
        <rFont val="Times New Roman"/>
        <family val="1"/>
        <charset val="238"/>
      </rPr>
      <t>:</t>
    </r>
    <r>
      <rPr>
        <sz val="9"/>
        <rFont val="Times New Roman"/>
        <family val="1"/>
        <charset val="238"/>
      </rPr>
      <t>Az elult években képviselői keretből, saját forrásból és a közmunka program révén jelentős járdafelújítások történtek, ezért a tárgyi évben ezen a jogcímen nem tervezünk kiadást.</t>
    </r>
  </si>
  <si>
    <r>
      <rPr>
        <b/>
        <u/>
        <sz val="9"/>
        <rFont val="Times New Roman"/>
        <family val="1"/>
        <charset val="238"/>
      </rPr>
      <t>Külterületi utak karbantartása: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 külterületi útak karbantartása  az önkormányzat kötelező feladata.</t>
    </r>
  </si>
  <si>
    <r>
      <rPr>
        <b/>
        <u/>
        <sz val="9"/>
        <rFont val="Times New Roman"/>
        <family val="1"/>
        <charset val="238"/>
      </rPr>
      <t>Síkosság mentesítés</t>
    </r>
    <r>
      <rPr>
        <sz val="9"/>
        <rFont val="Times New Roman"/>
        <family val="1"/>
        <charset val="238"/>
      </rPr>
      <t>: Költsége időjárás függő. Költségeit az elmúlt évek viszonyait figyelembe véve prognosztizálható</t>
    </r>
  </si>
  <si>
    <t>A Városgondnoksági Iroda az illetékessége</t>
  </si>
  <si>
    <t>Az elmúlt évben képviselői keretek felhasználása révén növekedett a közvilágítási lámpatestek száma .</t>
  </si>
  <si>
    <t>A közkifolyók számának további csökkentése nem lehetséges, ezért a szakfeladatra előirányzott költség meghatározása a 2018. évi teljesítés figyelembevételével történt.</t>
  </si>
  <si>
    <t>A tárgyi évben a Gyöngyösi u. temető is az önkormányzat kezelésébe került. Az üzemeltetést a Városgondnokság végzi . A temető folyamatos ápoltságának biztosítására folyamatos gondnokra lenne szükség.</t>
  </si>
  <si>
    <t>Új zöldterületi részek virágosítása,parkosítása</t>
  </si>
  <si>
    <t>Konténer szállítás</t>
  </si>
  <si>
    <t>Zöldterületek kaszálása</t>
  </si>
  <si>
    <t>A startmunka program keretében 2019-ben is is pályázunk. A foglalkoztatást …… fő bevonásával tervezzük.</t>
  </si>
  <si>
    <t>A hagyományos közfoglalkoztatás 2019 évre vonatkozó támogatottsága még nem ismert. Valószínűleg a 2018-es évhez hasonlóan a  hosszabb távú foglalkoztatás 70-100%-ban lesz támogatható és a dologi kiadásokra nem kapunk támogatást.</t>
  </si>
  <si>
    <t>A közfoglalkoztatási bér bruttó összege 2019-ben nem változik, a 8 órás foglalkoztatás 79.155 forint, a garantált bér összege 104.480 forint.  A kifizetés havi rendszerességgel történik.</t>
  </si>
  <si>
    <t xml:space="preserve">104 480 forint. </t>
  </si>
  <si>
    <t>Hírdetmények, kifüggesztések</t>
  </si>
  <si>
    <t>Az elmúlt évben vagyonkezelés céljára megkapott és ipari fejlesztések számára vásárolt földterületek mezőgazdasági hasznosításahoz kapott földalapú támogatás kerül tervezésre, mely terület a Viczán tó melletti területtel bővűl.</t>
  </si>
  <si>
    <t>piac bérbeadása</t>
  </si>
  <si>
    <t>Ingatlan eladás</t>
  </si>
  <si>
    <t>Temetők működtetésével kapcsolatos bevételek</t>
  </si>
  <si>
    <t>Polgármesteri Hivatal épületének belső felújításának befejezése</t>
  </si>
  <si>
    <t xml:space="preserve">A Művelődési Ház mellett építendő közhasználatú illemhely tervét elkészítetni és az épületet megépítetni: Testületi döntés értelmében megkezdődött a közhasználatú illemhely tervezési munkája. A terv elkészülte és az építési engedély megléte után megkezdődik az épület építése a Művelődési Ház épület északi oldalán a színpadi bejárat mellett. 2016-os és 2017-es költségvetésből forráshiány miatt elmaradt feladat megvalósítása .
</t>
  </si>
  <si>
    <t>A Művelődési Ház érdekeltségnövelő pályázatának megvalósítása : az önkormányzatunk által elnyert pályázat 2018.évi közművelődés fejlesztési pályázat önerejét és az elnyert támogatást tervezzük ezen a soron, amelyből az épület kazáncseréje (kondenzációs kazán beépítése)és a szükséges hálózat kiépítése valósul meg.</t>
  </si>
  <si>
    <t>A Heves Város Zöld Szíve - szabaidőközpont projekt kivitelezői szerződésének támogatáson felüli összegének pénzügyi rendezése.</t>
  </si>
  <si>
    <t>Tervek készítése  : A hazai forrásból megvalósuló fejlesztési terveink folyamatos viteléhez elengedhetetlen a tervek , tanulmányok megléte , korábbi terveink korszerűségi felülvizsgálata . Az EU-s források esetében a tervek a pozitív pályázati döntés esetén a tervezésre fordított kiadások megtérülnek.</t>
  </si>
  <si>
    <t>Rendezési terv átfogó felülvizsgálata és digitális alaptérkép elkészítése  : a hatályos rendezési tervünket 2019 végére kötelező felülvizsgálni .A 2018 évi elmaradt és a 2019.évi pénzügyi ütem kerül tervezésre.</t>
  </si>
  <si>
    <t>Mezei őrszolgálat eszközbeszerzése : mezei őrszolgálat működésének javításához szükséges hőkamera beszerzése</t>
  </si>
  <si>
    <t>mösz</t>
  </si>
  <si>
    <t>Utcanévtáblák, információs táblák elékészítése és kihelyezése</t>
  </si>
  <si>
    <t>Az Erkel utcai parkoló befejezése: parkolókat elválasztó vonalak felfestése, zöldfelületek rendezése</t>
  </si>
  <si>
    <t>A büntetésvégrehajtási intézet létesítéséhez vállalt középfeszültségű vezeték kiépítése.</t>
  </si>
  <si>
    <t>Alatkai zártkerti fejlesztési pályázat végrehajtása</t>
  </si>
  <si>
    <r>
      <rPr>
        <b/>
        <u/>
        <sz val="9"/>
        <rFont val="Times New Roman"/>
        <family val="1"/>
        <charset val="238"/>
      </rPr>
      <t>Kátyúzás: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Az elmúlt években a kátyúzási munkák csak az "ütőkátyúk" megszüntetésére korlátozódott. A tárgyi évben szükségessé vált egy átfogó karbantartási munkát végezni, ami magába foglalja a burkolat szélek  és repedezett szakaszok javítását is.</t>
    </r>
  </si>
  <si>
    <r>
      <rPr>
        <b/>
        <u/>
        <sz val="9"/>
        <rFont val="Times New Roman"/>
        <family val="1"/>
        <charset val="238"/>
      </rPr>
      <t>Gyalogos átkelők létesítése: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 közlekedés biztonságának növelése érekében</t>
    </r>
    <r>
      <rPr>
        <b/>
        <sz val="9"/>
        <rFont val="Times New Roman"/>
        <family val="1"/>
        <charset val="238"/>
      </rPr>
      <t xml:space="preserve"> - l</t>
    </r>
    <r>
      <rPr>
        <sz val="9"/>
        <rFont val="Times New Roman"/>
        <family val="1"/>
        <charset val="238"/>
      </rPr>
      <t>akossági igényként felmerült - indokolt 3 db gyalogos átkelő tervezése és megvalósítása (Benedek E. kisegítő iskola 2 db, sakkmúzeúm előtt 1 db)</t>
    </r>
  </si>
  <si>
    <r>
      <rPr>
        <b/>
        <u/>
        <sz val="9"/>
        <rFont val="Times New Roman"/>
        <family val="1"/>
        <charset val="238"/>
      </rPr>
      <t>Útburkolati jelek felfestése: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Az utóbbi években az útburkolati jelk felfestése nem történt meg, ezért szinte észrevétlenné váltak. A közmunka program forrásainak csökkenése miatt csak külső vállalkozó bevonásával tudjuk megvalósítani.</t>
    </r>
  </si>
  <si>
    <r>
      <rPr>
        <b/>
        <u/>
        <sz val="9"/>
        <rFont val="Times New Roman"/>
        <family val="1"/>
        <charset val="238"/>
      </rPr>
      <t>KRESZ táblák pótlása:</t>
    </r>
    <r>
      <rPr>
        <sz val="9"/>
        <rFont val="Times New Roman"/>
        <family val="1"/>
        <charset val="238"/>
      </rPr>
      <t xml:space="preserve"> Forrás hiány miatt , csak a hiányzó és megrongált táblák pótlására tervezünk forrást, </t>
    </r>
  </si>
  <si>
    <r>
      <rPr>
        <b/>
        <u/>
        <sz val="9"/>
        <rFont val="Times New Roman"/>
        <family val="1"/>
        <charset val="238"/>
      </rPr>
      <t>Útkarbantartás és felújítás</t>
    </r>
    <r>
      <rPr>
        <u/>
        <sz val="9"/>
        <rFont val="Times New Roman"/>
        <family val="1"/>
        <charset val="238"/>
      </rPr>
      <t>:</t>
    </r>
    <r>
      <rPr>
        <sz val="9"/>
        <rFont val="Times New Roman"/>
        <family val="1"/>
        <charset val="238"/>
      </rPr>
      <t xml:space="preserve"> Az Erkel lakótelepi utca és Hunyadi J. u. felújítása már nem halasztható tovább, ezért felújításával saját forrásból is tervezni szükséges.</t>
    </r>
  </si>
  <si>
    <r>
      <rPr>
        <b/>
        <u/>
        <sz val="9"/>
        <rFont val="Times New Roman"/>
        <family val="1"/>
        <charset val="238"/>
      </rPr>
      <t>Közvilágítási hálózat felújítása bővítése:</t>
    </r>
    <r>
      <rPr>
        <sz val="9"/>
        <rFont val="Times New Roman"/>
        <family val="1"/>
        <charset val="238"/>
      </rPr>
      <t xml:space="preserve"> A közvilágítási hálózat bővítési és felújítási igénye a település több részén merült fel:Alatka, Bernáthegy.Ezen területeken a közvilágításhoz szükséges közviágítási szál kiépítése szükséges. Az elavult lámpatestek cseréje szükséges a strand környékén és Pusztacsászon.</t>
    </r>
  </si>
  <si>
    <t>ÁFA levonható!???</t>
  </si>
  <si>
    <t>Közkifolyók</t>
  </si>
  <si>
    <t>Temető fenntartás</t>
  </si>
  <si>
    <t>Parkfenntartás és köztisztaság</t>
  </si>
  <si>
    <t>Állategészségügyi feladatok</t>
  </si>
  <si>
    <r>
      <rPr>
        <b/>
        <u/>
        <sz val="9"/>
        <rFont val="Times New Roman"/>
        <family val="1"/>
        <charset val="238"/>
      </rPr>
      <t>Rágcsáló irtás:</t>
    </r>
    <r>
      <rPr>
        <sz val="9"/>
        <rFont val="Times New Roman"/>
        <family val="1"/>
        <charset val="238"/>
      </rPr>
      <t xml:space="preserve"> A 2014. évben jelentkezett szokatlan nagyszámú rágcsáló jelentős problémát okozott az önkormányzatnak. A korlátozott lokális irtás nem járt eredménnyel. Az előző év tanulságait levonva indokolt egy szakcéggel az egész városra/városrészre vonatkozó rágcsálóirtási szerződést kötni.</t>
    </r>
  </si>
  <si>
    <r>
      <rPr>
        <b/>
        <u/>
        <sz val="9"/>
        <rFont val="Times New Roman"/>
        <family val="1"/>
        <charset val="238"/>
      </rPr>
      <t>Kóbor ebek</t>
    </r>
    <r>
      <rPr>
        <sz val="9"/>
        <rFont val="Times New Roman"/>
        <family val="1"/>
        <charset val="238"/>
      </rPr>
      <t xml:space="preserve"> összeírásával, összegyűjtésével kapcsolatos költségek.</t>
    </r>
  </si>
  <si>
    <r>
      <rPr>
        <b/>
        <u/>
        <sz val="9"/>
        <rFont val="Times New Roman"/>
        <family val="1"/>
        <charset val="238"/>
      </rPr>
      <t>Előre nem látható költségek: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 gyakran megjelenő és az előre nem tervezhető ( általában vis maior hellegű ) feladatok  kerete , amelyet az elmúlt évek tapasztalati alpján tervezünk   Itt jelennek meg a tervezett beruházásokhoz kapcsolódó  pótlólagos költségei.</t>
    </r>
  </si>
  <si>
    <r>
      <rPr>
        <b/>
        <u/>
        <sz val="9"/>
        <rFont val="Times New Roman"/>
        <family val="1"/>
        <charset val="238"/>
      </rPr>
      <t>A Régió-Kom</t>
    </r>
    <r>
      <rPr>
        <sz val="9"/>
        <rFont val="Times New Roman"/>
        <family val="1"/>
        <charset val="238"/>
      </rPr>
      <t xml:space="preserve">  követelésvásárlás 2019.évi ütem</t>
    </r>
  </si>
  <si>
    <r>
      <rPr>
        <b/>
        <u/>
        <sz val="9"/>
        <rFont val="Times New Roman"/>
        <family val="1"/>
        <charset val="238"/>
      </rPr>
      <t>Épületek bontása</t>
    </r>
    <r>
      <rPr>
        <b/>
        <sz val="9"/>
        <rFont val="Times New Roman"/>
        <family val="1"/>
        <charset val="238"/>
      </rPr>
      <t>:</t>
    </r>
    <r>
      <rPr>
        <sz val="9"/>
        <rFont val="Times New Roman"/>
        <family val="1"/>
        <charset val="238"/>
      </rPr>
      <t xml:space="preserve"> Fejlesztési céllal megvásárolt ingatlanok bontása és a már elbontott ingatlanok törmelékeinek elszállítása</t>
    </r>
  </si>
  <si>
    <r>
      <t xml:space="preserve">A </t>
    </r>
    <r>
      <rPr>
        <b/>
        <u/>
        <sz val="9"/>
        <rFont val="Times New Roman"/>
        <family val="1"/>
        <charset val="238"/>
      </rPr>
      <t>már aláírt szerződések</t>
    </r>
    <r>
      <rPr>
        <sz val="9"/>
        <rFont val="Times New Roman"/>
        <family val="1"/>
        <charset val="238"/>
      </rPr>
      <t xml:space="preserve"> szerint a közfoglalkoztatás költségei januártól februárig (100%-ban támogatott)</t>
    </r>
  </si>
  <si>
    <r>
      <t xml:space="preserve">A </t>
    </r>
    <r>
      <rPr>
        <b/>
        <u/>
        <sz val="9"/>
        <rFont val="Times New Roman"/>
        <family val="1"/>
        <charset val="238"/>
      </rPr>
      <t>2019. évi közfoglalkoztatás</t>
    </r>
    <r>
      <rPr>
        <sz val="9"/>
        <rFont val="Times New Roman"/>
        <family val="1"/>
        <charset val="238"/>
      </rPr>
      <t xml:space="preserve"> önkormányzati önrészére betervezett összeg</t>
    </r>
  </si>
  <si>
    <t>Vagyonkezelési szerződések</t>
  </si>
  <si>
    <t>Vízmű által fizetett bérleti díj</t>
  </si>
  <si>
    <t>közt</t>
  </si>
  <si>
    <t>Ingatlan bérbeadás</t>
  </si>
  <si>
    <r>
      <t>Területalapú támogatás</t>
    </r>
    <r>
      <rPr>
        <u/>
        <sz val="9"/>
        <rFont val="Times New Roman"/>
        <family val="1"/>
        <charset val="238"/>
      </rPr>
      <t> </t>
    </r>
  </si>
  <si>
    <t>A 2018-os évben műszakilag megvalósult fejlesztések , felújítások pénzügyi rendezése , halasztott fizetések : Polgármesteri Hivatal szavazatszámláló rendszer Hivatal szavazat számláló rendszer</t>
  </si>
  <si>
    <t>Városgazdálkodás</t>
  </si>
  <si>
    <t>2013.01.01. előtt átadott ingatlanok után járó (részben már tavalyi évben kiszámlázva)</t>
  </si>
  <si>
    <t>2013.01.01. után átadott ingatlanok után járó (részben már tavalyi évben kiszámlázva)</t>
  </si>
  <si>
    <t>Károlyi M. úti volt NHSZ  telephely bérbeadása</t>
  </si>
  <si>
    <t>sportcsarnok üzemeltetése</t>
  </si>
  <si>
    <t>tel fejl</t>
  </si>
  <si>
    <t>Sportszervezetek</t>
  </si>
  <si>
    <t>TAO önerő</t>
  </si>
  <si>
    <t>HM-i Katasztrófavédelmi Igazgatóság</t>
  </si>
  <si>
    <t>Alatkai zártkerti pályázat</t>
  </si>
  <si>
    <t>2018. évi érdekeltségnövelő támogatásból beruházás</t>
  </si>
  <si>
    <t>Erkel F. úti parkoló befejezése</t>
  </si>
  <si>
    <t>Művelődési Ház mellett építendő közhasználatú illemhely megépítése</t>
  </si>
  <si>
    <t>TOP-2.1.2-15-HE1-2016-00004 Heves Város Zöld szíve (vállalt önerő)</t>
  </si>
  <si>
    <t>Szavazat számláló rendszer 2019. évi kiadásai</t>
  </si>
  <si>
    <t>Közvilágítás bővítése</t>
  </si>
  <si>
    <t>Informatikai eszközbeszerzések</t>
  </si>
  <si>
    <t>Önkormányzati hivatal belső felújítása (folytatás)</t>
  </si>
  <si>
    <t>Erkel lakótelepi utca és Hunyadi J. u. felújítása</t>
  </si>
  <si>
    <t>AMI Hevesi J. Tagiskola felújítása</t>
  </si>
  <si>
    <t>Ingatlanok vásárlása városfejlesztési feladatok megvalósítása érdekében (  Hevesért Közalapítvány ingatlanvás az elmaradt és a 2019.évi ütem, NHSZ ingatlan vásárlás 2019.évi ütem, Szerelem A. u. 20., Pusztacsász 45., opciós vételi jog, egyéb ingatlanok)</t>
  </si>
  <si>
    <t>fel</t>
  </si>
  <si>
    <t>3.15.</t>
  </si>
  <si>
    <t>AMI Hevesi J. Tagiskola felújítása önkormányzati vállalás</t>
  </si>
  <si>
    <t>Heves Város Önkormányzata 2019. évi költségvetésének mellékleteiről</t>
  </si>
  <si>
    <t xml:space="preserve">Heves Város Önkormányzata 2019. évi költségvetési rendelet tervezete </t>
  </si>
  <si>
    <t xml:space="preserve">Heves Város Önkormányzata és költségvetési szervei 2019. évi összesített költségvetési mérlege </t>
  </si>
  <si>
    <t xml:space="preserve">Heves Város Önkormányzata 2019. évi költségvetési mérlege </t>
  </si>
  <si>
    <t xml:space="preserve">Hevesi Közös Önkormányzati Hivatal 2019. évi költségvetési mérlege </t>
  </si>
  <si>
    <t xml:space="preserve">Heves Városi Óvodák és Bölcsőde Köznevelési Intézmény 2019. évi költségvetési mérlege </t>
  </si>
  <si>
    <t xml:space="preserve">Hevesi Kulturális Központ 2019. évi költségvetési mérlege </t>
  </si>
  <si>
    <t xml:space="preserve">Heves Városi Mezei Őrszolgálat 2019. évi költségvetési mérlege </t>
  </si>
  <si>
    <t xml:space="preserve">Heves Város Gyermekjóléti Központja és Családsegítő Szolgálata 2019. évi költségvetési mérlege </t>
  </si>
  <si>
    <t>Heves Város Önkormányzata és költségvetési szervei 2019. évi létszámkerete</t>
  </si>
  <si>
    <t>Heves Város Önkormányzata és költségvetési szervei 2019. évi összesített költségvetési mérlege (a tárgyévet megelőző két év teljesítési adataival kiegészítve)</t>
  </si>
  <si>
    <t>Heves Város Önkormányzata 2019. évi általános működésének és ágazati feladatainak támogatásának alakulása jogcímenként</t>
  </si>
  <si>
    <t>2019. évi felhalmozási célú kiadások</t>
  </si>
  <si>
    <t>2019. évi céljelleggel nyújtott támogatások</t>
  </si>
  <si>
    <t>Városüzemeltetési feladatok 2019. évi részletes költségvetése</t>
  </si>
  <si>
    <t>Az I. és a II. fordulós költségvetés tervezet közötti módosítás</t>
  </si>
  <si>
    <t>BEVÉTELI/KIADÁSI JOGCÍMEK feladatonként</t>
  </si>
  <si>
    <t>BEVÉTELEK/KIADÁSOK ÖSSZESEN:</t>
  </si>
  <si>
    <t>MEGNEVEZÉS</t>
  </si>
  <si>
    <t>I. forduló</t>
  </si>
  <si>
    <t>módosítás</t>
  </si>
  <si>
    <t>II. forduló</t>
  </si>
  <si>
    <t>Rendkívüli önkormányzati költségvetési támogatás</t>
  </si>
  <si>
    <t>Működési feladatok önkormányzati kiegészítése</t>
  </si>
  <si>
    <t>Felhalmozási feladatok önkormányzati kiegészítése</t>
  </si>
  <si>
    <t>Ebből:</t>
  </si>
  <si>
    <t>Ingatlanértékesítés</t>
  </si>
  <si>
    <t>Fejlesztési hitel felvétele - Kerekerdő óvoda tornaszoba önerő</t>
  </si>
  <si>
    <t>Önkormányzati beruházások felülvizsgálata - Büntetésvégrehajtási intézet beruházásához vállalt fejlesztési kötelezettségek</t>
  </si>
  <si>
    <t>Önkormányzati beruházások felülvizsgálata - Utcanévtáblák elkészítése és kihelyzése</t>
  </si>
  <si>
    <t>Önkormányzati céltámogatások felülvizsgálata</t>
  </si>
  <si>
    <t>ÖNK kiadásainak, bevételeinek felülvizsgálata</t>
  </si>
  <si>
    <t>HKÖH kiadásainak felülvizsgálata (köztisztviselői üres álláshelyek zárolása)</t>
  </si>
  <si>
    <t>HVÓBKI kiadásainak felülvizsgálata</t>
  </si>
  <si>
    <t>HKK kiadásainak felülvizsgálata</t>
  </si>
  <si>
    <t>MŐSZ negatív finanszírozás rendezése</t>
  </si>
  <si>
    <t>Rendkívüli önkormányzati költségvetési támogatás változása II. fordulóra</t>
  </si>
  <si>
    <t>2019. évi működési célú finanszírozási bevételek előirányzata</t>
  </si>
  <si>
    <t>2019. évi felhalmozási célú finanszírozási bevételek előirányzata</t>
  </si>
  <si>
    <t>2019. évi működési célú finanszírozási kiadások előirányzata</t>
  </si>
  <si>
    <t>2019. évi felhalmozási célú finanszírozási kiadások előirányzata</t>
  </si>
  <si>
    <t>MŐSZ kiadásainak felülvizsgálata (eszközbeszerzés)</t>
  </si>
  <si>
    <t>Önkormányzati beruházások felülvizsgálata - Művelődési Ház mellett építendő közhasználatú illemhely megépítése</t>
  </si>
  <si>
    <t>Önkormányzati beruházások felülvizsgálata - Erkel lakótelepi utca és Hunyadi J. u. felújítása</t>
  </si>
  <si>
    <t>Heves Város Polgárőr Egyesület</t>
  </si>
  <si>
    <t>Maradvány, valamint az általános tartalék és céltartalékok felülviszgálata</t>
  </si>
  <si>
    <t>strand</t>
  </si>
  <si>
    <t>Markóth F. kórház elszámolás (járóbeteg szakellátás pályázat)</t>
  </si>
  <si>
    <t>Strand beruházás</t>
  </si>
  <si>
    <t>Az önkormányzat 2019. évi adósságot keletkeztető fejlesztési céljai</t>
  </si>
  <si>
    <t>Ingatlanvásárlás NHSZ Kft-től</t>
  </si>
  <si>
    <t>Regio-Komtól átvállalt követelés</t>
  </si>
  <si>
    <t>TOP-3.1.1-16-HE1-2017-00003</t>
  </si>
  <si>
    <t>Kerékpáros fejlesztés Heves és Hevesvezekény településeken</t>
  </si>
  <si>
    <t>EFOP-2.1.2-16-2017-00015 Gyerekesély programok infrastrukturális háttere a Hevesi járásban</t>
  </si>
  <si>
    <t>TOP-2.1.2-16-HE1-2017-00001 A hevesi Vicán-tó és környezetének fejlesztése</t>
  </si>
  <si>
    <t>TOP-1.1.3-16-HE1-2017-00007 A helyi gazdaság fejlesztése Heves városban</t>
  </si>
  <si>
    <t>TOP-1.2.1-16-HE1-2017-00009 Ökoturisztikai fejlesztés Heves Városban</t>
  </si>
  <si>
    <t>EFOP-1.4.2-16-2016-00030</t>
  </si>
  <si>
    <t>EFOP -3.9.2-16-2017-00024 Humán szolgáltatások fejlesztése a Hevesi járásban</t>
  </si>
  <si>
    <t>EFOP -1.5.3-16-2017-00108 Humán kapacitások fejlesztése a Hevesi járásban</t>
  </si>
  <si>
    <t>EFOP -1.8.2-17-2017-00006 Praxisközösség létrehozása a Hevesi járásban</t>
  </si>
  <si>
    <t>TOP-4.3.1-15HE1-2016-00014 Leromlott területek rehabilitációja Heves városban</t>
  </si>
  <si>
    <t>TOP-1.2.1-16-HE1-2017-00010 Az első magyar sakkmúzeum fejlesztése Hevesen</t>
  </si>
  <si>
    <t>TOP-1.1.1-16HE1-2017-00002 Iparterület kialakítása Heves Városban</t>
  </si>
  <si>
    <t>TOP-3.1.1-16-HE1-2017-00003 Kerékpáros fejlesztés Heves és Hevesvezekény településeken</t>
  </si>
  <si>
    <t>TOP-1.1.1-16HE1-2017-00002</t>
  </si>
  <si>
    <t>15. EU-s projekt azonosítója, neve:</t>
  </si>
  <si>
    <t>16. EU-s projekt azonosítója, neve:</t>
  </si>
  <si>
    <t>17. EU-s projekt azonosítója, neve:</t>
  </si>
  <si>
    <t>18. EU-s projekt azonosítója, neve:</t>
  </si>
  <si>
    <t>19. EU-s projekt azonosítója, neve:</t>
  </si>
  <si>
    <t>20. EU-s projekt azonosítója, neve:</t>
  </si>
  <si>
    <t>21. EU-s projekt azonosítója, neve:</t>
  </si>
  <si>
    <t>22. EU-s projekt azonosítója, neve:</t>
  </si>
  <si>
    <t>23. EU-s projekt azonosítója, neve:</t>
  </si>
  <si>
    <t>24. EU-s projekt azonosítója, neve:</t>
  </si>
  <si>
    <t>25. EU-s projekt azonosítója, neve:</t>
  </si>
  <si>
    <t>26. EU-s projekt azonosítója, neve:</t>
  </si>
  <si>
    <t>TOP-1.2.1-16-HE1-2017-00010</t>
  </si>
  <si>
    <t xml:space="preserve"> Az első magyar sakkmúzeum fejlesztése Hevesen</t>
  </si>
  <si>
    <t>TOP-4.3.1-15HE1-2016-00014</t>
  </si>
  <si>
    <t>Leromlott területek rehabilitációja Heves városban</t>
  </si>
  <si>
    <t>EFOP -1.8.2-17-2017-00006</t>
  </si>
  <si>
    <t xml:space="preserve"> Praxisközösség létrehozása a Hevesi járásban</t>
  </si>
  <si>
    <t xml:space="preserve">EFOP -1.5.3-16-2017-00108 </t>
  </si>
  <si>
    <t>Humán kapacitások fejlesztése a Hevesi járásban</t>
  </si>
  <si>
    <t>EFOP -3.9.2-16-2017-00024</t>
  </si>
  <si>
    <t xml:space="preserve"> Humán szolgáltatások fejlesztése a Hevesi járásban</t>
  </si>
  <si>
    <t xml:space="preserve">TOP-1.2.1-16-HE1-2017-00009 </t>
  </si>
  <si>
    <t>Ökoturisztikai fejlesztés Heves Városban</t>
  </si>
  <si>
    <t>TOP-1.1.3-16-HE1-2017-00007</t>
  </si>
  <si>
    <t xml:space="preserve"> A helyi gazdaság fejlesztése Heves városban</t>
  </si>
  <si>
    <t>TOP-2.1.2-16-HE1-2017-00001</t>
  </si>
  <si>
    <t xml:space="preserve"> A hevesi Vicán-tó és környezetének fejlesztése</t>
  </si>
  <si>
    <t>EFOP-2.1.2-16-2017-00015</t>
  </si>
  <si>
    <t xml:space="preserve"> Gyerekesély programok infrastrukturális háttere a Hevesi járásban</t>
  </si>
  <si>
    <t>31.</t>
  </si>
  <si>
    <t>32.</t>
  </si>
  <si>
    <t>33.</t>
  </si>
  <si>
    <t>34.</t>
  </si>
  <si>
    <t>35.</t>
  </si>
  <si>
    <t>36.</t>
  </si>
  <si>
    <t xml:space="preserve"> Komplex társadalmi együttműködési program Heves városában</t>
  </si>
  <si>
    <t xml:space="preserve"> Iparterület kialakítása Heves Városban</t>
  </si>
  <si>
    <t>Integrált térségi gyermekprogramok a Heves járásban</t>
  </si>
  <si>
    <t>EFOP-1.4.2-16-2016-00030 Integrált térségi gyermekprogramok a Heves járásban</t>
  </si>
  <si>
    <t>EFOP-1.2.9-17 Nők a családban és a munkahelyen</t>
  </si>
  <si>
    <t>Nők a családban és a munkahelyen</t>
  </si>
  <si>
    <t>EFOP-1.2.9-17</t>
  </si>
  <si>
    <t>37.</t>
  </si>
  <si>
    <t>Összesen (1.+3.+5.+7.+33.)</t>
  </si>
  <si>
    <t>Kerekerdő óvoda tornaszobával történő fejlesztésre elkészült pályázatunk "vigaszaszágon" támogatást nyert, amelynek teljeskörű megvalósításához szükséges a tervezett saját erő mértékét (10.000 eFt) hitelből tervezünk biztosítani.</t>
  </si>
  <si>
    <t>3.16.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</si>
</sst>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,##0.0"/>
    <numFmt numFmtId="165" formatCode="#,###"/>
    <numFmt numFmtId="166" formatCode="0.0"/>
    <numFmt numFmtId="167" formatCode="#,##0_ ;\-#,##0\ "/>
    <numFmt numFmtId="168" formatCode="#,##0&quot;.&quot;"/>
  </numFmts>
  <fonts count="67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Times New Roman CE"/>
      <charset val="238"/>
    </font>
    <font>
      <vertAlign val="superscript"/>
      <sz val="9"/>
      <name val="Times New Roman CE"/>
      <charset val="238"/>
    </font>
    <font>
      <b/>
      <vertAlign val="superscript"/>
      <sz val="9"/>
      <name val="Times New Roman CE"/>
      <charset val="238"/>
    </font>
    <font>
      <b/>
      <i/>
      <sz val="12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indexed="10"/>
      <name val="Times New Roman CE"/>
      <charset val="238"/>
    </font>
    <font>
      <b/>
      <sz val="9"/>
      <color indexed="10"/>
      <name val="Times New Roman CE"/>
      <charset val="238"/>
    </font>
    <font>
      <u/>
      <sz val="9"/>
      <name val="Times New Roman"/>
      <family val="1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color indexed="4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rgb="FF00B0F0"/>
      <name val="Times New Roman CE"/>
      <charset val="238"/>
    </font>
    <font>
      <sz val="9"/>
      <color rgb="FFFF0000"/>
      <name val="Times New Roman CE"/>
      <charset val="238"/>
    </font>
    <font>
      <b/>
      <sz val="9"/>
      <color rgb="FFFF0000"/>
      <name val="Times New Roman"/>
      <family val="1"/>
      <charset val="238"/>
    </font>
    <font>
      <sz val="12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u/>
      <sz val="9"/>
      <name val="Times New Roman CE"/>
      <charset val="238"/>
    </font>
    <font>
      <sz val="9"/>
      <color rgb="FFC00000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color rgb="FF00B0F0"/>
      <name val="Times New Roman CE"/>
      <charset val="238"/>
    </font>
    <font>
      <i/>
      <sz val="1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47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3" fontId="4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50" fillId="0" borderId="0"/>
    <xf numFmtId="0" fontId="2" fillId="0" borderId="0"/>
    <xf numFmtId="0" fontId="51" fillId="0" borderId="0"/>
    <xf numFmtId="3" fontId="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3" fontId="4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6">
    <xf numFmtId="0" fontId="0" fillId="0" borderId="0" xfId="0"/>
    <xf numFmtId="3" fontId="7" fillId="0" borderId="0" xfId="31" applyNumberFormat="1" applyFont="1" applyFill="1"/>
    <xf numFmtId="3" fontId="8" fillId="0" borderId="0" xfId="31" applyNumberFormat="1" applyFont="1" applyFill="1"/>
    <xf numFmtId="3" fontId="15" fillId="0" borderId="0" xfId="0" applyNumberFormat="1" applyFont="1"/>
    <xf numFmtId="3" fontId="16" fillId="0" borderId="0" xfId="0" applyNumberFormat="1" applyFont="1"/>
    <xf numFmtId="3" fontId="15" fillId="0" borderId="12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5" fillId="0" borderId="16" xfId="0" applyNumberFormat="1" applyFont="1" applyBorder="1"/>
    <xf numFmtId="3" fontId="16" fillId="0" borderId="16" xfId="0" applyNumberFormat="1" applyFont="1" applyBorder="1"/>
    <xf numFmtId="3" fontId="16" fillId="0" borderId="2" xfId="0" applyNumberFormat="1" applyFont="1" applyBorder="1"/>
    <xf numFmtId="3" fontId="17" fillId="0" borderId="2" xfId="0" applyNumberFormat="1" applyFont="1" applyBorder="1"/>
    <xf numFmtId="3" fontId="17" fillId="0" borderId="0" xfId="0" applyNumberFormat="1" applyFont="1"/>
    <xf numFmtId="3" fontId="15" fillId="0" borderId="17" xfId="0" applyNumberFormat="1" applyFont="1" applyBorder="1"/>
    <xf numFmtId="3" fontId="17" fillId="0" borderId="18" xfId="0" applyNumberFormat="1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3" fontId="15" fillId="0" borderId="6" xfId="0" applyNumberFormat="1" applyFont="1" applyBorder="1"/>
    <xf numFmtId="3" fontId="17" fillId="0" borderId="20" xfId="0" applyNumberFormat="1" applyFont="1" applyBorder="1"/>
    <xf numFmtId="3" fontId="16" fillId="0" borderId="20" xfId="0" applyNumberFormat="1" applyFont="1" applyBorder="1"/>
    <xf numFmtId="3" fontId="16" fillId="0" borderId="21" xfId="0" applyNumberFormat="1" applyFont="1" applyBorder="1"/>
    <xf numFmtId="3" fontId="16" fillId="0" borderId="22" xfId="0" applyNumberFormat="1" applyFont="1" applyBorder="1"/>
    <xf numFmtId="3" fontId="17" fillId="0" borderId="22" xfId="0" applyNumberFormat="1" applyFont="1" applyBorder="1"/>
    <xf numFmtId="3" fontId="16" fillId="0" borderId="23" xfId="0" applyNumberFormat="1" applyFont="1" applyBorder="1"/>
    <xf numFmtId="3" fontId="16" fillId="0" borderId="24" xfId="0" applyNumberFormat="1" applyFont="1" applyBorder="1"/>
    <xf numFmtId="3" fontId="16" fillId="0" borderId="4" xfId="0" applyNumberFormat="1" applyFont="1" applyBorder="1"/>
    <xf numFmtId="3" fontId="16" fillId="0" borderId="25" xfId="0" applyNumberFormat="1" applyFont="1" applyBorder="1"/>
    <xf numFmtId="3" fontId="16" fillId="0" borderId="26" xfId="0" applyNumberFormat="1" applyFont="1" applyBorder="1"/>
    <xf numFmtId="3" fontId="15" fillId="0" borderId="27" xfId="0" applyNumberFormat="1" applyFont="1" applyBorder="1"/>
    <xf numFmtId="3" fontId="15" fillId="0" borderId="28" xfId="0" applyNumberFormat="1" applyFont="1" applyBorder="1"/>
    <xf numFmtId="3" fontId="15" fillId="0" borderId="29" xfId="0" applyNumberFormat="1" applyFont="1" applyBorder="1"/>
    <xf numFmtId="3" fontId="15" fillId="0" borderId="13" xfId="0" applyNumberFormat="1" applyFont="1" applyBorder="1"/>
    <xf numFmtId="3" fontId="15" fillId="0" borderId="10" xfId="0" applyNumberFormat="1" applyFont="1" applyBorder="1"/>
    <xf numFmtId="3" fontId="15" fillId="0" borderId="9" xfId="0" applyNumberFormat="1" applyFont="1" applyBorder="1"/>
    <xf numFmtId="3" fontId="16" fillId="0" borderId="30" xfId="0" applyNumberFormat="1" applyFont="1" applyBorder="1"/>
    <xf numFmtId="3" fontId="15" fillId="0" borderId="0" xfId="0" applyNumberFormat="1" applyFont="1" applyBorder="1"/>
    <xf numFmtId="3" fontId="15" fillId="0" borderId="1" xfId="0" applyNumberFormat="1" applyFont="1" applyBorder="1"/>
    <xf numFmtId="3" fontId="15" fillId="0" borderId="31" xfId="0" applyNumberFormat="1" applyFont="1" applyBorder="1"/>
    <xf numFmtId="3" fontId="15" fillId="0" borderId="32" xfId="0" applyNumberFormat="1" applyFont="1" applyBorder="1"/>
    <xf numFmtId="3" fontId="16" fillId="0" borderId="6" xfId="0" applyNumberFormat="1" applyFont="1" applyBorder="1"/>
    <xf numFmtId="3" fontId="16" fillId="0" borderId="17" xfId="0" applyNumberFormat="1" applyFont="1" applyBorder="1"/>
    <xf numFmtId="3" fontId="15" fillId="0" borderId="33" xfId="0" applyNumberFormat="1" applyFont="1" applyBorder="1"/>
    <xf numFmtId="3" fontId="15" fillId="0" borderId="34" xfId="0" applyNumberFormat="1" applyFont="1" applyBorder="1"/>
    <xf numFmtId="3" fontId="15" fillId="0" borderId="35" xfId="0" applyNumberFormat="1" applyFont="1" applyBorder="1"/>
    <xf numFmtId="3" fontId="18" fillId="0" borderId="0" xfId="0" applyNumberFormat="1" applyFont="1"/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left"/>
    </xf>
    <xf numFmtId="3" fontId="15" fillId="0" borderId="34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/>
    <xf numFmtId="3" fontId="16" fillId="0" borderId="37" xfId="0" applyNumberFormat="1" applyFont="1" applyBorder="1"/>
    <xf numFmtId="3" fontId="17" fillId="0" borderId="19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6" xfId="0" applyNumberFormat="1" applyFont="1" applyBorder="1"/>
    <xf numFmtId="3" fontId="17" fillId="0" borderId="4" xfId="0" applyNumberFormat="1" applyFont="1" applyBorder="1"/>
    <xf numFmtId="3" fontId="17" fillId="0" borderId="37" xfId="0" applyNumberFormat="1" applyFont="1" applyBorder="1"/>
    <xf numFmtId="3" fontId="17" fillId="0" borderId="24" xfId="0" applyNumberFormat="1" applyFont="1" applyBorder="1"/>
    <xf numFmtId="3" fontId="17" fillId="0" borderId="23" xfId="0" applyNumberFormat="1" applyFont="1" applyBorder="1"/>
    <xf numFmtId="3" fontId="16" fillId="0" borderId="38" xfId="0" applyNumberFormat="1" applyFont="1" applyBorder="1"/>
    <xf numFmtId="3" fontId="16" fillId="0" borderId="39" xfId="0" applyNumberFormat="1" applyFont="1" applyBorder="1"/>
    <xf numFmtId="3" fontId="16" fillId="0" borderId="40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horizontal="right"/>
    </xf>
    <xf numFmtId="3" fontId="20" fillId="0" borderId="0" xfId="0" applyNumberFormat="1" applyFont="1"/>
    <xf numFmtId="3" fontId="15" fillId="0" borderId="0" xfId="0" applyNumberFormat="1" applyFont="1" applyBorder="1" applyAlignment="1">
      <alignment horizontal="center"/>
    </xf>
    <xf numFmtId="164" fontId="15" fillId="0" borderId="21" xfId="0" applyNumberFormat="1" applyFont="1" applyBorder="1"/>
    <xf numFmtId="164" fontId="15" fillId="0" borderId="40" xfId="0" applyNumberFormat="1" applyFont="1" applyBorder="1"/>
    <xf numFmtId="164" fontId="15" fillId="0" borderId="38" xfId="0" applyNumberFormat="1" applyFont="1" applyBorder="1"/>
    <xf numFmtId="164" fontId="15" fillId="0" borderId="39" xfId="0" applyNumberFormat="1" applyFont="1" applyBorder="1"/>
    <xf numFmtId="164" fontId="15" fillId="0" borderId="24" xfId="0" applyNumberFormat="1" applyFont="1" applyBorder="1"/>
    <xf numFmtId="164" fontId="15" fillId="0" borderId="4" xfId="0" applyNumberFormat="1" applyFont="1" applyBorder="1"/>
    <xf numFmtId="164" fontId="15" fillId="0" borderId="25" xfId="0" applyNumberFormat="1" applyFont="1" applyBorder="1"/>
    <xf numFmtId="164" fontId="15" fillId="0" borderId="26" xfId="0" applyNumberFormat="1" applyFont="1" applyBorder="1"/>
    <xf numFmtId="164" fontId="15" fillId="0" borderId="34" xfId="0" applyNumberFormat="1" applyFont="1" applyBorder="1"/>
    <xf numFmtId="164" fontId="15" fillId="0" borderId="13" xfId="0" applyNumberFormat="1" applyFont="1" applyBorder="1"/>
    <xf numFmtId="164" fontId="15" fillId="0" borderId="10" xfId="0" applyNumberFormat="1" applyFont="1" applyBorder="1"/>
    <xf numFmtId="164" fontId="15" fillId="0" borderId="9" xfId="0" applyNumberFormat="1" applyFont="1" applyBorder="1"/>
    <xf numFmtId="49" fontId="15" fillId="0" borderId="0" xfId="0" applyNumberFormat="1" applyFont="1" applyBorder="1"/>
    <xf numFmtId="49" fontId="15" fillId="0" borderId="41" xfId="0" applyNumberFormat="1" applyFont="1" applyBorder="1" applyAlignment="1">
      <alignment horizontal="left" indent="1"/>
    </xf>
    <xf numFmtId="49" fontId="16" fillId="0" borderId="7" xfId="0" applyNumberFormat="1" applyFont="1" applyBorder="1" applyAlignment="1">
      <alignment horizontal="left" indent="2"/>
    </xf>
    <xf numFmtId="49" fontId="17" fillId="0" borderId="42" xfId="0" applyNumberFormat="1" applyFont="1" applyBorder="1" applyAlignment="1">
      <alignment horizontal="left" indent="3"/>
    </xf>
    <xf numFmtId="49" fontId="16" fillId="0" borderId="42" xfId="0" applyNumberFormat="1" applyFont="1" applyBorder="1" applyAlignment="1">
      <alignment horizontal="left" indent="2"/>
    </xf>
    <xf numFmtId="49" fontId="16" fillId="0" borderId="5" xfId="0" applyNumberFormat="1" applyFont="1" applyBorder="1" applyAlignment="1">
      <alignment horizontal="left" indent="2"/>
    </xf>
    <xf numFmtId="49" fontId="15" fillId="0" borderId="41" xfId="0" applyNumberFormat="1" applyFont="1" applyBorder="1"/>
    <xf numFmtId="49" fontId="15" fillId="0" borderId="41" xfId="0" applyNumberFormat="1" applyFont="1" applyBorder="1" applyAlignment="1">
      <alignment horizontal="left"/>
    </xf>
    <xf numFmtId="49" fontId="15" fillId="0" borderId="43" xfId="0" applyNumberFormat="1" applyFont="1" applyBorder="1"/>
    <xf numFmtId="49" fontId="16" fillId="0" borderId="7" xfId="0" applyNumberFormat="1" applyFont="1" applyBorder="1"/>
    <xf numFmtId="49" fontId="16" fillId="0" borderId="44" xfId="0" applyNumberFormat="1" applyFont="1" applyBorder="1"/>
    <xf numFmtId="49" fontId="17" fillId="0" borderId="5" xfId="0" applyNumberFormat="1" applyFont="1" applyBorder="1" applyAlignment="1">
      <alignment horizontal="left" indent="3"/>
    </xf>
    <xf numFmtId="49" fontId="17" fillId="0" borderId="44" xfId="0" applyNumberFormat="1" applyFont="1" applyBorder="1" applyAlignment="1">
      <alignment horizontal="left" indent="3"/>
    </xf>
    <xf numFmtId="49" fontId="15" fillId="0" borderId="15" xfId="0" applyNumberFormat="1" applyFont="1" applyBorder="1"/>
    <xf numFmtId="49" fontId="15" fillId="0" borderId="5" xfId="0" applyNumberFormat="1" applyFont="1" applyBorder="1"/>
    <xf numFmtId="49" fontId="16" fillId="0" borderId="24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3" fontId="18" fillId="0" borderId="21" xfId="0" applyNumberFormat="1" applyFont="1" applyBorder="1"/>
    <xf numFmtId="3" fontId="18" fillId="0" borderId="40" xfId="0" applyNumberFormat="1" applyFont="1" applyBorder="1"/>
    <xf numFmtId="3" fontId="18" fillId="0" borderId="38" xfId="0" applyNumberFormat="1" applyFont="1" applyBorder="1"/>
    <xf numFmtId="3" fontId="18" fillId="0" borderId="39" xfId="0" applyNumberFormat="1" applyFont="1" applyBorder="1"/>
    <xf numFmtId="49" fontId="17" fillId="0" borderId="5" xfId="0" applyNumberFormat="1" applyFont="1" applyBorder="1" applyAlignment="1">
      <alignment horizontal="left"/>
    </xf>
    <xf numFmtId="164" fontId="17" fillId="0" borderId="24" xfId="0" applyNumberFormat="1" applyFont="1" applyBorder="1"/>
    <xf numFmtId="164" fontId="17" fillId="0" borderId="4" xfId="0" applyNumberFormat="1" applyFont="1" applyBorder="1"/>
    <xf numFmtId="164" fontId="17" fillId="0" borderId="25" xfId="0" applyNumberFormat="1" applyFont="1" applyBorder="1"/>
    <xf numFmtId="164" fontId="17" fillId="0" borderId="26" xfId="0" applyNumberFormat="1" applyFont="1" applyBorder="1"/>
    <xf numFmtId="49" fontId="17" fillId="2" borderId="22" xfId="0" applyNumberFormat="1" applyFont="1" applyFill="1" applyBorder="1" applyAlignment="1">
      <alignment horizontal="center"/>
    </xf>
    <xf numFmtId="49" fontId="17" fillId="2" borderId="42" xfId="0" applyNumberFormat="1" applyFont="1" applyFill="1" applyBorder="1" applyAlignment="1">
      <alignment horizontal="left" indent="3"/>
    </xf>
    <xf numFmtId="3" fontId="17" fillId="2" borderId="22" xfId="0" applyNumberFormat="1" applyFont="1" applyFill="1" applyBorder="1"/>
    <xf numFmtId="3" fontId="17" fillId="2" borderId="20" xfId="0" applyNumberFormat="1" applyFont="1" applyFill="1" applyBorder="1"/>
    <xf numFmtId="3" fontId="17" fillId="2" borderId="2" xfId="0" applyNumberFormat="1" applyFont="1" applyFill="1" applyBorder="1"/>
    <xf numFmtId="3" fontId="17" fillId="2" borderId="18" xfId="0" applyNumberFormat="1" applyFont="1" applyFill="1" applyBorder="1"/>
    <xf numFmtId="49" fontId="17" fillId="0" borderId="22" xfId="0" applyNumberFormat="1" applyFont="1" applyFill="1" applyBorder="1" applyAlignment="1">
      <alignment horizontal="center"/>
    </xf>
    <xf numFmtId="49" fontId="17" fillId="0" borderId="42" xfId="0" applyNumberFormat="1" applyFont="1" applyFill="1" applyBorder="1" applyAlignment="1">
      <alignment horizontal="left" indent="3"/>
    </xf>
    <xf numFmtId="3" fontId="16" fillId="0" borderId="22" xfId="0" applyNumberFormat="1" applyFont="1" applyFill="1" applyBorder="1"/>
    <xf numFmtId="3" fontId="15" fillId="0" borderId="34" xfId="0" applyNumberFormat="1" applyFont="1" applyFill="1" applyBorder="1"/>
    <xf numFmtId="3" fontId="15" fillId="0" borderId="13" xfId="0" applyNumberFormat="1" applyFont="1" applyFill="1" applyBorder="1"/>
    <xf numFmtId="3" fontId="15" fillId="0" borderId="10" xfId="0" applyNumberFormat="1" applyFont="1" applyFill="1" applyBorder="1"/>
    <xf numFmtId="3" fontId="15" fillId="0" borderId="9" xfId="0" applyNumberFormat="1" applyFont="1" applyFill="1" applyBorder="1"/>
    <xf numFmtId="3" fontId="17" fillId="0" borderId="22" xfId="0" applyNumberFormat="1" applyFont="1" applyFill="1" applyBorder="1"/>
    <xf numFmtId="49" fontId="16" fillId="0" borderId="7" xfId="0" applyNumberFormat="1" applyFont="1" applyFill="1" applyBorder="1" applyAlignment="1">
      <alignment horizontal="left" indent="2"/>
    </xf>
    <xf numFmtId="3" fontId="16" fillId="0" borderId="30" xfId="0" applyNumberFormat="1" applyFont="1" applyFill="1" applyBorder="1"/>
    <xf numFmtId="3" fontId="16" fillId="0" borderId="6" xfId="0" applyNumberFormat="1" applyFont="1" applyFill="1" applyBorder="1"/>
    <xf numFmtId="3" fontId="16" fillId="0" borderId="16" xfId="0" applyNumberFormat="1" applyFont="1" applyFill="1" applyBorder="1"/>
    <xf numFmtId="3" fontId="16" fillId="0" borderId="17" xfId="0" applyNumberFormat="1" applyFont="1" applyFill="1" applyBorder="1"/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24" xfId="0" applyNumberFormat="1" applyFont="1" applyFill="1" applyBorder="1"/>
    <xf numFmtId="3" fontId="15" fillId="0" borderId="0" xfId="0" applyNumberFormat="1" applyFont="1" applyFill="1"/>
    <xf numFmtId="49" fontId="16" fillId="0" borderId="15" xfId="0" applyNumberFormat="1" applyFont="1" applyBorder="1" applyAlignment="1">
      <alignment horizontal="left" indent="1"/>
    </xf>
    <xf numFmtId="49" fontId="15" fillId="0" borderId="47" xfId="0" applyNumberFormat="1" applyFont="1" applyBorder="1"/>
    <xf numFmtId="49" fontId="17" fillId="0" borderId="42" xfId="0" applyNumberFormat="1" applyFont="1" applyBorder="1" applyAlignment="1">
      <alignment horizontal="left" indent="2"/>
    </xf>
    <xf numFmtId="49" fontId="17" fillId="0" borderId="42" xfId="0" applyNumberFormat="1" applyFont="1" applyBorder="1" applyAlignment="1">
      <alignment horizontal="left" indent="1"/>
    </xf>
    <xf numFmtId="49" fontId="17" fillId="0" borderId="44" xfId="0" applyNumberFormat="1" applyFont="1" applyBorder="1" applyAlignment="1">
      <alignment horizontal="left" indent="1"/>
    </xf>
    <xf numFmtId="49" fontId="16" fillId="0" borderId="21" xfId="0" applyNumberFormat="1" applyFont="1" applyBorder="1" applyAlignment="1">
      <alignment horizontal="center"/>
    </xf>
    <xf numFmtId="49" fontId="16" fillId="0" borderId="48" xfId="0" applyNumberFormat="1" applyFont="1" applyBorder="1" applyAlignment="1">
      <alignment horizontal="left" indent="1"/>
    </xf>
    <xf numFmtId="49" fontId="16" fillId="0" borderId="42" xfId="0" applyNumberFormat="1" applyFont="1" applyBorder="1" applyAlignment="1">
      <alignment horizontal="left" indent="1"/>
    </xf>
    <xf numFmtId="49" fontId="16" fillId="0" borderId="49" xfId="0" applyNumberFormat="1" applyFont="1" applyBorder="1" applyAlignment="1">
      <alignment horizontal="left" inden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3" fontId="15" fillId="0" borderId="50" xfId="0" applyNumberFormat="1" applyFont="1" applyBorder="1"/>
    <xf numFmtId="3" fontId="15" fillId="0" borderId="51" xfId="0" applyNumberFormat="1" applyFont="1" applyBorder="1"/>
    <xf numFmtId="3" fontId="15" fillId="0" borderId="52" xfId="0" applyNumberFormat="1" applyFont="1" applyBorder="1"/>
    <xf numFmtId="49" fontId="15" fillId="0" borderId="45" xfId="0" applyNumberFormat="1" applyFont="1" applyBorder="1"/>
    <xf numFmtId="49" fontId="17" fillId="0" borderId="42" xfId="0" applyNumberFormat="1" applyFont="1" applyBorder="1" applyAlignment="1">
      <alignment horizontal="left" wrapText="1" indent="1"/>
    </xf>
    <xf numFmtId="49" fontId="17" fillId="0" borderId="53" xfId="0" applyNumberFormat="1" applyFont="1" applyBorder="1" applyAlignment="1">
      <alignment horizontal="left" wrapText="1" indent="1"/>
    </xf>
    <xf numFmtId="49" fontId="17" fillId="0" borderId="49" xfId="0" applyNumberFormat="1" applyFont="1" applyBorder="1" applyAlignment="1">
      <alignment horizontal="left" wrapText="1" indent="1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 horizontal="right"/>
    </xf>
    <xf numFmtId="0" fontId="7" fillId="0" borderId="0" xfId="11" applyFont="1"/>
    <xf numFmtId="0" fontId="12" fillId="0" borderId="0" xfId="11" applyFont="1"/>
    <xf numFmtId="164" fontId="12" fillId="0" borderId="54" xfId="11" applyNumberFormat="1" applyFont="1" applyFill="1" applyBorder="1" applyAlignment="1">
      <alignment horizontal="center" vertical="center" wrapText="1"/>
    </xf>
    <xf numFmtId="164" fontId="11" fillId="0" borderId="54" xfId="11" applyNumberFormat="1" applyFont="1" applyFill="1" applyBorder="1" applyAlignment="1"/>
    <xf numFmtId="0" fontId="11" fillId="0" borderId="47" xfId="11" applyFont="1" applyFill="1" applyBorder="1" applyAlignment="1">
      <alignment horizontal="left"/>
    </xf>
    <xf numFmtId="4" fontId="12" fillId="0" borderId="54" xfId="1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164" fontId="11" fillId="0" borderId="51" xfId="11" applyNumberFormat="1" applyFont="1" applyFill="1" applyBorder="1" applyAlignment="1">
      <alignment horizontal="center" vertical="center" wrapText="1"/>
    </xf>
    <xf numFmtId="3" fontId="7" fillId="0" borderId="0" xfId="31" applyNumberFormat="1" applyFont="1" applyFill="1" applyAlignment="1">
      <alignment horizontal="right"/>
    </xf>
    <xf numFmtId="3" fontId="9" fillId="0" borderId="0" xfId="11" applyNumberFormat="1" applyFont="1" applyFill="1"/>
    <xf numFmtId="3" fontId="11" fillId="0" borderId="11" xfId="11" applyNumberFormat="1" applyFont="1" applyFill="1" applyBorder="1" applyAlignment="1">
      <alignment vertical="center"/>
    </xf>
    <xf numFmtId="3" fontId="11" fillId="0" borderId="0" xfId="11" applyNumberFormat="1" applyFont="1" applyFill="1" applyBorder="1" applyAlignment="1">
      <alignment vertical="center"/>
    </xf>
    <xf numFmtId="3" fontId="9" fillId="0" borderId="0" xfId="11" applyNumberFormat="1" applyFont="1" applyFill="1" applyBorder="1" applyAlignment="1">
      <alignment vertical="center"/>
    </xf>
    <xf numFmtId="3" fontId="11" fillId="0" borderId="47" xfId="11" applyNumberFormat="1" applyFont="1" applyFill="1" applyBorder="1" applyAlignment="1"/>
    <xf numFmtId="3" fontId="11" fillId="0" borderId="0" xfId="11" applyNumberFormat="1" applyFont="1" applyFill="1"/>
    <xf numFmtId="3" fontId="12" fillId="0" borderId="0" xfId="11" applyNumberFormat="1" applyFont="1" applyFill="1"/>
    <xf numFmtId="0" fontId="11" fillId="0" borderId="0" xfId="11" applyFont="1"/>
    <xf numFmtId="3" fontId="11" fillId="0" borderId="34" xfId="31" applyNumberFormat="1" applyFont="1" applyFill="1" applyBorder="1" applyAlignment="1" applyProtection="1">
      <alignment horizontal="center" vertical="center" wrapText="1"/>
    </xf>
    <xf numFmtId="3" fontId="12" fillId="0" borderId="61" xfId="11" applyNumberFormat="1" applyFont="1" applyFill="1" applyBorder="1" applyAlignment="1">
      <alignment vertical="center"/>
    </xf>
    <xf numFmtId="3" fontId="12" fillId="0" borderId="15" xfId="11" applyNumberFormat="1" applyFont="1" applyFill="1" applyBorder="1" applyAlignment="1">
      <alignment vertical="center"/>
    </xf>
    <xf numFmtId="3" fontId="12" fillId="0" borderId="21" xfId="11" applyNumberFormat="1" applyFont="1" applyFill="1" applyBorder="1" applyAlignment="1" applyProtection="1">
      <alignment vertical="center"/>
      <protection locked="0"/>
    </xf>
    <xf numFmtId="3" fontId="12" fillId="0" borderId="40" xfId="11" applyNumberFormat="1" applyFont="1" applyFill="1" applyBorder="1" applyAlignment="1" applyProtection="1">
      <alignment vertical="center"/>
      <protection locked="0"/>
    </xf>
    <xf numFmtId="3" fontId="12" fillId="0" borderId="54" xfId="11" applyNumberFormat="1" applyFont="1" applyFill="1" applyBorder="1" applyAlignment="1" applyProtection="1">
      <alignment vertical="center"/>
      <protection locked="0"/>
    </xf>
    <xf numFmtId="3" fontId="11" fillId="0" borderId="21" xfId="11" applyNumberFormat="1" applyFont="1" applyFill="1" applyBorder="1" applyAlignment="1">
      <alignment vertical="center"/>
    </xf>
    <xf numFmtId="3" fontId="21" fillId="0" borderId="62" xfId="11" quotePrefix="1" applyNumberFormat="1" applyFont="1" applyFill="1" applyBorder="1" applyAlignment="1">
      <alignment horizontal="left" vertical="center" indent="1"/>
    </xf>
    <xf numFmtId="3" fontId="21" fillId="0" borderId="42" xfId="11" quotePrefix="1" applyNumberFormat="1" applyFont="1" applyFill="1" applyBorder="1" applyAlignment="1">
      <alignment horizontal="left" vertical="center" indent="1"/>
    </xf>
    <xf numFmtId="3" fontId="21" fillId="0" borderId="22" xfId="11" applyNumberFormat="1" applyFont="1" applyFill="1" applyBorder="1" applyAlignment="1" applyProtection="1">
      <alignment vertical="center"/>
      <protection locked="0"/>
    </xf>
    <xf numFmtId="3" fontId="21" fillId="0" borderId="20" xfId="11" applyNumberFormat="1" applyFont="1" applyFill="1" applyBorder="1" applyAlignment="1" applyProtection="1">
      <alignment vertical="center"/>
      <protection locked="0"/>
    </xf>
    <xf numFmtId="3" fontId="21" fillId="0" borderId="56" xfId="11" applyNumberFormat="1" applyFont="1" applyFill="1" applyBorder="1" applyAlignment="1" applyProtection="1">
      <alignment vertical="center"/>
      <protection locked="0"/>
    </xf>
    <xf numFmtId="3" fontId="10" fillId="0" borderId="22" xfId="11" applyNumberFormat="1" applyFont="1" applyFill="1" applyBorder="1" applyAlignment="1">
      <alignment vertical="center"/>
    </xf>
    <xf numFmtId="3" fontId="12" fillId="0" borderId="62" xfId="11" applyNumberFormat="1" applyFont="1" applyFill="1" applyBorder="1" applyAlignment="1">
      <alignment vertical="center"/>
    </xf>
    <xf numFmtId="3" fontId="12" fillId="0" borderId="42" xfId="11" applyNumberFormat="1" applyFont="1" applyFill="1" applyBorder="1" applyAlignment="1">
      <alignment vertical="center"/>
    </xf>
    <xf numFmtId="3" fontId="12" fillId="0" borderId="22" xfId="11" applyNumberFormat="1" applyFont="1" applyFill="1" applyBorder="1" applyAlignment="1" applyProtection="1">
      <alignment vertical="center"/>
      <protection locked="0"/>
    </xf>
    <xf numFmtId="3" fontId="12" fillId="0" borderId="20" xfId="11" applyNumberFormat="1" applyFont="1" applyFill="1" applyBorder="1" applyAlignment="1" applyProtection="1">
      <alignment vertical="center"/>
      <protection locked="0"/>
    </xf>
    <xf numFmtId="3" fontId="12" fillId="0" borderId="56" xfId="11" applyNumberFormat="1" applyFont="1" applyFill="1" applyBorder="1" applyAlignment="1" applyProtection="1">
      <alignment vertical="center"/>
      <protection locked="0"/>
    </xf>
    <xf numFmtId="3" fontId="11" fillId="0" borderId="22" xfId="11" applyNumberFormat="1" applyFont="1" applyFill="1" applyBorder="1" applyAlignment="1">
      <alignment vertical="center"/>
    </xf>
    <xf numFmtId="3" fontId="11" fillId="0" borderId="58" xfId="11" applyNumberFormat="1" applyFont="1" applyFill="1" applyBorder="1" applyAlignment="1">
      <alignment vertical="center"/>
    </xf>
    <xf numFmtId="3" fontId="11" fillId="0" borderId="34" xfId="11" applyNumberFormat="1" applyFont="1" applyFill="1" applyBorder="1" applyAlignment="1">
      <alignment vertical="center"/>
    </xf>
    <xf numFmtId="3" fontId="11" fillId="0" borderId="13" xfId="11" applyNumberFormat="1" applyFont="1" applyFill="1" applyBorder="1" applyAlignment="1">
      <alignment vertical="center"/>
    </xf>
    <xf numFmtId="3" fontId="12" fillId="0" borderId="0" xfId="11" applyNumberFormat="1" applyFont="1" applyFill="1" applyAlignment="1">
      <alignment vertical="center"/>
    </xf>
    <xf numFmtId="3" fontId="12" fillId="0" borderId="62" xfId="11" applyNumberFormat="1" applyFont="1" applyFill="1" applyBorder="1" applyAlignment="1">
      <alignment horizontal="left" vertical="center"/>
    </xf>
    <xf numFmtId="3" fontId="12" fillId="0" borderId="62" xfId="11" applyNumberFormat="1" applyFont="1" applyFill="1" applyBorder="1" applyAlignment="1" applyProtection="1">
      <alignment vertical="center"/>
      <protection locked="0"/>
    </xf>
    <xf numFmtId="3" fontId="12" fillId="0" borderId="42" xfId="11" applyNumberFormat="1" applyFont="1" applyFill="1" applyBorder="1" applyAlignment="1" applyProtection="1">
      <alignment vertical="center"/>
      <protection locked="0"/>
    </xf>
    <xf numFmtId="3" fontId="12" fillId="0" borderId="63" xfId="11" applyNumberFormat="1" applyFont="1" applyFill="1" applyBorder="1" applyAlignment="1" applyProtection="1">
      <alignment vertical="center"/>
      <protection locked="0"/>
    </xf>
    <xf numFmtId="3" fontId="12" fillId="0" borderId="5" xfId="11" applyNumberFormat="1" applyFont="1" applyFill="1" applyBorder="1" applyAlignment="1" applyProtection="1">
      <alignment vertical="center"/>
      <protection locked="0"/>
    </xf>
    <xf numFmtId="3" fontId="12" fillId="0" borderId="24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Fill="1" applyBorder="1" applyAlignment="1" applyProtection="1">
      <alignment vertical="center"/>
      <protection locked="0"/>
    </xf>
    <xf numFmtId="3" fontId="12" fillId="0" borderId="14" xfId="11" applyNumberFormat="1" applyFont="1" applyFill="1" applyBorder="1" applyAlignment="1" applyProtection="1">
      <alignment vertical="center"/>
      <protection locked="0"/>
    </xf>
    <xf numFmtId="3" fontId="12" fillId="0" borderId="49" xfId="11" applyNumberFormat="1" applyFont="1" applyFill="1" applyBorder="1" applyAlignment="1" applyProtection="1">
      <alignment horizontal="left" wrapText="1" indent="1"/>
      <protection locked="0"/>
    </xf>
    <xf numFmtId="3" fontId="12" fillId="0" borderId="18" xfId="11" applyNumberFormat="1" applyFont="1" applyFill="1" applyBorder="1" applyAlignment="1" applyProtection="1">
      <protection locked="0"/>
    </xf>
    <xf numFmtId="3" fontId="12" fillId="0" borderId="62" xfId="11" applyNumberFormat="1" applyFont="1" applyFill="1" applyBorder="1" applyAlignment="1" applyProtection="1">
      <protection locked="0"/>
    </xf>
    <xf numFmtId="3" fontId="12" fillId="0" borderId="2" xfId="11" applyNumberFormat="1" applyFont="1" applyFill="1" applyBorder="1" applyAlignment="1" applyProtection="1">
      <protection locked="0"/>
    </xf>
    <xf numFmtId="3" fontId="12" fillId="0" borderId="56" xfId="11" applyNumberFormat="1" applyFont="1" applyFill="1" applyBorder="1" applyAlignment="1"/>
    <xf numFmtId="3" fontId="12" fillId="0" borderId="22" xfId="11" applyNumberFormat="1" applyFont="1" applyFill="1" applyBorder="1" applyAlignment="1"/>
    <xf numFmtId="3" fontId="11" fillId="0" borderId="9" xfId="11" applyNumberFormat="1" applyFont="1" applyFill="1" applyBorder="1" applyAlignment="1"/>
    <xf numFmtId="3" fontId="11" fillId="0" borderId="11" xfId="11" applyNumberFormat="1" applyFont="1" applyFill="1" applyBorder="1" applyAlignment="1"/>
    <xf numFmtId="3" fontId="11" fillId="0" borderId="10" xfId="11" applyNumberFormat="1" applyFont="1" applyFill="1" applyBorder="1" applyAlignment="1"/>
    <xf numFmtId="3" fontId="11" fillId="0" borderId="58" xfId="11" applyNumberFormat="1" applyFont="1" applyFill="1" applyBorder="1" applyAlignment="1"/>
    <xf numFmtId="3" fontId="11" fillId="0" borderId="34" xfId="11" applyNumberFormat="1" applyFont="1" applyFill="1" applyBorder="1" applyAlignment="1"/>
    <xf numFmtId="3" fontId="10" fillId="0" borderId="43" xfId="11" applyNumberFormat="1" applyFont="1" applyFill="1" applyBorder="1" applyAlignment="1">
      <alignment horizontal="right"/>
    </xf>
    <xf numFmtId="0" fontId="12" fillId="0" borderId="64" xfId="11" applyFont="1" applyBorder="1" applyAlignment="1">
      <alignment horizontal="center" wrapText="1"/>
    </xf>
    <xf numFmtId="0" fontId="12" fillId="0" borderId="65" xfId="11" applyFont="1" applyBorder="1" applyAlignment="1">
      <alignment horizontal="center" wrapText="1"/>
    </xf>
    <xf numFmtId="0" fontId="12" fillId="0" borderId="31" xfId="11" applyFont="1" applyBorder="1" applyAlignment="1">
      <alignment horizontal="center" vertical="center"/>
    </xf>
    <xf numFmtId="3" fontId="10" fillId="0" borderId="0" xfId="11" applyNumberFormat="1" applyFont="1" applyFill="1" applyAlignment="1">
      <alignment horizontal="right"/>
    </xf>
    <xf numFmtId="0" fontId="12" fillId="0" borderId="66" xfId="11" applyFont="1" applyBorder="1" applyAlignment="1">
      <alignment horizontal="center" wrapText="1"/>
    </xf>
    <xf numFmtId="0" fontId="11" fillId="0" borderId="34" xfId="11" applyFont="1" applyBorder="1" applyAlignment="1">
      <alignment horizontal="center" wrapText="1"/>
    </xf>
    <xf numFmtId="0" fontId="12" fillId="0" borderId="67" xfId="11" applyFont="1" applyBorder="1" applyAlignment="1">
      <alignment wrapText="1"/>
    </xf>
    <xf numFmtId="3" fontId="12" fillId="0" borderId="69" xfId="11" applyNumberFormat="1" applyFont="1" applyBorder="1" applyAlignment="1">
      <alignment wrapText="1"/>
    </xf>
    <xf numFmtId="3" fontId="11" fillId="0" borderId="70" xfId="11" applyNumberFormat="1" applyFont="1" applyBorder="1" applyAlignment="1">
      <alignment wrapText="1"/>
    </xf>
    <xf numFmtId="0" fontId="12" fillId="0" borderId="71" xfId="11" applyFont="1" applyBorder="1" applyAlignment="1">
      <alignment wrapText="1"/>
    </xf>
    <xf numFmtId="3" fontId="12" fillId="0" borderId="73" xfId="11" applyNumberFormat="1" applyFont="1" applyBorder="1" applyAlignment="1">
      <alignment wrapText="1"/>
    </xf>
    <xf numFmtId="3" fontId="11" fillId="0" borderId="74" xfId="11" applyNumberFormat="1" applyFont="1" applyBorder="1" applyAlignment="1">
      <alignment wrapText="1"/>
    </xf>
    <xf numFmtId="0" fontId="12" fillId="0" borderId="75" xfId="11" applyFont="1" applyFill="1" applyBorder="1" applyAlignment="1">
      <alignment wrapText="1"/>
    </xf>
    <xf numFmtId="3" fontId="12" fillId="0" borderId="76" xfId="11" applyNumberFormat="1" applyFont="1" applyBorder="1" applyAlignment="1">
      <alignment wrapText="1"/>
    </xf>
    <xf numFmtId="3" fontId="11" fillId="0" borderId="77" xfId="11" applyNumberFormat="1" applyFont="1" applyBorder="1" applyAlignment="1">
      <alignment wrapText="1"/>
    </xf>
    <xf numFmtId="0" fontId="11" fillId="0" borderId="64" xfId="11" applyFont="1" applyBorder="1" applyAlignment="1">
      <alignment wrapText="1"/>
    </xf>
    <xf numFmtId="3" fontId="11" fillId="0" borderId="10" xfId="11" applyNumberFormat="1" applyFont="1" applyBorder="1" applyAlignment="1">
      <alignment wrapText="1"/>
    </xf>
    <xf numFmtId="3" fontId="11" fillId="0" borderId="66" xfId="11" applyNumberFormat="1" applyFont="1" applyBorder="1" applyAlignment="1">
      <alignment wrapText="1"/>
    </xf>
    <xf numFmtId="3" fontId="11" fillId="0" borderId="34" xfId="11" applyNumberFormat="1" applyFont="1" applyBorder="1" applyAlignment="1">
      <alignment wrapText="1"/>
    </xf>
    <xf numFmtId="0" fontId="12" fillId="0" borderId="75" xfId="11" applyFont="1" applyBorder="1" applyAlignment="1">
      <alignment wrapText="1"/>
    </xf>
    <xf numFmtId="0" fontId="11" fillId="0" borderId="78" xfId="11" applyFont="1" applyBorder="1" applyAlignment="1">
      <alignment wrapText="1"/>
    </xf>
    <xf numFmtId="3" fontId="11" fillId="0" borderId="79" xfId="11" applyNumberFormat="1" applyFont="1" applyBorder="1" applyAlignment="1">
      <alignment wrapText="1"/>
    </xf>
    <xf numFmtId="3" fontId="11" fillId="0" borderId="35" xfId="11" applyNumberFormat="1" applyFont="1" applyBorder="1" applyAlignment="1">
      <alignment wrapText="1"/>
    </xf>
    <xf numFmtId="165" fontId="11" fillId="0" borderId="0" xfId="31" applyNumberFormat="1" applyFont="1" applyFill="1" applyBorder="1" applyAlignment="1" applyProtection="1">
      <alignment horizontal="center" vertical="center" wrapText="1"/>
    </xf>
    <xf numFmtId="165" fontId="11" fillId="0" borderId="0" xfId="31" applyNumberFormat="1" applyFont="1" applyFill="1" applyBorder="1" applyAlignment="1" applyProtection="1">
      <alignment horizontal="centerContinuous" vertical="center"/>
    </xf>
    <xf numFmtId="0" fontId="10" fillId="0" borderId="0" xfId="11" applyFont="1" applyFill="1" applyBorder="1" applyAlignment="1" applyProtection="1">
      <alignment horizontal="right"/>
    </xf>
    <xf numFmtId="3" fontId="12" fillId="0" borderId="0" xfId="11" applyNumberFormat="1" applyFont="1"/>
    <xf numFmtId="0" fontId="11" fillId="0" borderId="61" xfId="31" applyFont="1" applyFill="1" applyBorder="1" applyAlignment="1" applyProtection="1">
      <alignment horizontal="center" vertical="center" wrapText="1"/>
    </xf>
    <xf numFmtId="0" fontId="12" fillId="0" borderId="11" xfId="31" applyFont="1" applyFill="1" applyBorder="1" applyAlignment="1" applyProtection="1">
      <alignment horizontal="center" vertical="center"/>
    </xf>
    <xf numFmtId="0" fontId="12" fillId="0" borderId="61" xfId="31" applyFont="1" applyFill="1" applyBorder="1" applyAlignment="1" applyProtection="1">
      <alignment horizontal="center" vertical="center"/>
    </xf>
    <xf numFmtId="0" fontId="12" fillId="0" borderId="62" xfId="31" applyFont="1" applyFill="1" applyBorder="1" applyAlignment="1" applyProtection="1">
      <alignment horizontal="center" vertical="center"/>
    </xf>
    <xf numFmtId="0" fontId="12" fillId="0" borderId="63" xfId="31" applyFont="1" applyFill="1" applyBorder="1" applyAlignment="1" applyProtection="1">
      <alignment horizontal="center" vertical="center"/>
    </xf>
    <xf numFmtId="0" fontId="11" fillId="0" borderId="11" xfId="31" applyFont="1" applyFill="1" applyBorder="1" applyAlignment="1" applyProtection="1">
      <alignment horizontal="center" vertical="center"/>
    </xf>
    <xf numFmtId="0" fontId="12" fillId="0" borderId="34" xfId="11" applyFont="1" applyBorder="1" applyAlignment="1">
      <alignment horizontal="center" wrapText="1"/>
    </xf>
    <xf numFmtId="3" fontId="12" fillId="0" borderId="70" xfId="11" applyNumberFormat="1" applyFont="1" applyBorder="1" applyAlignment="1">
      <alignment wrapText="1"/>
    </xf>
    <xf numFmtId="3" fontId="12" fillId="0" borderId="74" xfId="11" applyNumberFormat="1" applyFont="1" applyBorder="1" applyAlignment="1">
      <alignment wrapText="1"/>
    </xf>
    <xf numFmtId="3" fontId="12" fillId="0" borderId="77" xfId="11" applyNumberFormat="1" applyFont="1" applyBorder="1" applyAlignment="1">
      <alignment wrapText="1"/>
    </xf>
    <xf numFmtId="0" fontId="11" fillId="0" borderId="54" xfId="31" applyFont="1" applyFill="1" applyBorder="1" applyAlignment="1" applyProtection="1">
      <alignment horizontal="center" vertical="center" wrapText="1"/>
    </xf>
    <xf numFmtId="0" fontId="12" fillId="0" borderId="58" xfId="31" applyFont="1" applyFill="1" applyBorder="1" applyAlignment="1" applyProtection="1">
      <alignment horizontal="center" vertical="center"/>
    </xf>
    <xf numFmtId="0" fontId="12" fillId="0" borderId="54" xfId="31" applyFont="1" applyFill="1" applyBorder="1" applyAlignment="1" applyProtection="1">
      <alignment horizontal="left" indent="1"/>
      <protection locked="0"/>
    </xf>
    <xf numFmtId="0" fontId="12" fillId="0" borderId="56" xfId="31" applyFont="1" applyFill="1" applyBorder="1" applyAlignment="1" applyProtection="1">
      <alignment horizontal="left" indent="1"/>
      <protection locked="0"/>
    </xf>
    <xf numFmtId="0" fontId="12" fillId="0" borderId="14" xfId="31" applyFont="1" applyFill="1" applyBorder="1" applyAlignment="1" applyProtection="1">
      <alignment horizontal="left" indent="1"/>
      <protection locked="0"/>
    </xf>
    <xf numFmtId="0" fontId="11" fillId="0" borderId="58" xfId="31" applyFont="1" applyFill="1" applyBorder="1" applyAlignment="1" applyProtection="1">
      <alignment horizontal="left" vertical="center" wrapText="1"/>
    </xf>
    <xf numFmtId="0" fontId="11" fillId="0" borderId="21" xfId="31" applyFont="1" applyFill="1" applyBorder="1" applyAlignment="1" applyProtection="1">
      <alignment horizontal="center" vertical="center" wrapText="1"/>
    </xf>
    <xf numFmtId="0" fontId="12" fillId="0" borderId="34" xfId="31" applyFont="1" applyFill="1" applyBorder="1" applyAlignment="1" applyProtection="1">
      <alignment horizontal="center" vertical="center"/>
    </xf>
    <xf numFmtId="167" fontId="12" fillId="0" borderId="21" xfId="1" applyNumberFormat="1" applyFont="1" applyFill="1" applyBorder="1" applyProtection="1">
      <protection locked="0"/>
    </xf>
    <xf numFmtId="167" fontId="12" fillId="0" borderId="22" xfId="1" applyNumberFormat="1" applyFont="1" applyFill="1" applyBorder="1" applyProtection="1">
      <protection locked="0"/>
    </xf>
    <xf numFmtId="167" fontId="12" fillId="0" borderId="24" xfId="1" applyNumberFormat="1" applyFont="1" applyFill="1" applyBorder="1" applyProtection="1">
      <protection locked="0"/>
    </xf>
    <xf numFmtId="167" fontId="11" fillId="0" borderId="34" xfId="1" applyNumberFormat="1" applyFont="1" applyFill="1" applyBorder="1" applyProtection="1"/>
    <xf numFmtId="0" fontId="12" fillId="0" borderId="80" xfId="11" applyFont="1" applyBorder="1" applyAlignment="1">
      <alignment horizontal="center" wrapText="1"/>
    </xf>
    <xf numFmtId="0" fontId="12" fillId="0" borderId="81" xfId="11" applyFont="1" applyBorder="1" applyAlignment="1">
      <alignment horizontal="center" wrapText="1"/>
    </xf>
    <xf numFmtId="0" fontId="12" fillId="0" borderId="82" xfId="11" applyFont="1" applyBorder="1" applyAlignment="1">
      <alignment horizontal="center" wrapText="1"/>
    </xf>
    <xf numFmtId="0" fontId="11" fillId="0" borderId="65" xfId="11" applyFont="1" applyBorder="1" applyAlignment="1">
      <alignment horizontal="center" wrapText="1"/>
    </xf>
    <xf numFmtId="0" fontId="11" fillId="0" borderId="83" xfId="11" applyFont="1" applyBorder="1" applyAlignment="1">
      <alignment horizontal="center" wrapText="1"/>
    </xf>
    <xf numFmtId="3" fontId="12" fillId="0" borderId="84" xfId="11" applyNumberFormat="1" applyFont="1" applyBorder="1" applyAlignment="1">
      <alignment wrapText="1"/>
    </xf>
    <xf numFmtId="3" fontId="12" fillId="0" borderId="22" xfId="11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16" xfId="11" applyNumberFormat="1" applyFont="1" applyFill="1" applyBorder="1" applyAlignment="1" applyProtection="1">
      <alignment vertical="center" wrapText="1"/>
      <protection locked="0"/>
    </xf>
    <xf numFmtId="3" fontId="12" fillId="0" borderId="60" xfId="11" applyNumberFormat="1" applyFont="1" applyFill="1" applyBorder="1" applyAlignment="1" applyProtection="1">
      <alignment vertical="center" wrapText="1"/>
      <protection locked="0"/>
    </xf>
    <xf numFmtId="3" fontId="12" fillId="0" borderId="55" xfId="11" applyNumberFormat="1" applyFont="1" applyFill="1" applyBorder="1" applyAlignment="1" applyProtection="1">
      <alignment vertical="center" wrapText="1"/>
      <protection locked="0"/>
    </xf>
    <xf numFmtId="3" fontId="12" fillId="0" borderId="22" xfId="11" applyNumberFormat="1" applyFont="1" applyFill="1" applyBorder="1" applyAlignment="1" applyProtection="1">
      <alignment vertical="center" wrapText="1"/>
      <protection locked="0"/>
    </xf>
    <xf numFmtId="1" fontId="12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12" fillId="0" borderId="6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vertical="center" wrapText="1"/>
    </xf>
    <xf numFmtId="3" fontId="11" fillId="0" borderId="10" xfId="11" applyNumberFormat="1" applyFont="1" applyFill="1" applyBorder="1" applyAlignment="1" applyProtection="1">
      <alignment vertical="center" wrapText="1"/>
    </xf>
    <xf numFmtId="3" fontId="11" fillId="0" borderId="11" xfId="11" applyNumberFormat="1" applyFont="1" applyFill="1" applyBorder="1" applyAlignment="1" applyProtection="1">
      <alignment vertical="center" wrapText="1"/>
    </xf>
    <xf numFmtId="3" fontId="11" fillId="0" borderId="10" xfId="11" applyNumberFormat="1" applyFont="1" applyFill="1" applyBorder="1" applyAlignment="1" applyProtection="1">
      <alignment horizontal="center" vertical="center" wrapText="1"/>
    </xf>
    <xf numFmtId="3" fontId="11" fillId="0" borderId="46" xfId="11" applyNumberFormat="1" applyFont="1" applyFill="1" applyBorder="1" applyAlignment="1">
      <alignment horizontal="center" vertical="center" wrapText="1"/>
    </xf>
    <xf numFmtId="3" fontId="11" fillId="0" borderId="50" xfId="11" applyNumberFormat="1" applyFont="1" applyFill="1" applyBorder="1" applyAlignment="1">
      <alignment horizontal="center" vertical="center" wrapText="1"/>
    </xf>
    <xf numFmtId="3" fontId="11" fillId="0" borderId="85" xfId="11" applyNumberFormat="1" applyFont="1" applyFill="1" applyBorder="1" applyAlignment="1">
      <alignment horizontal="center" vertical="center" wrapText="1"/>
    </xf>
    <xf numFmtId="3" fontId="11" fillId="0" borderId="86" xfId="11" applyNumberFormat="1" applyFont="1" applyFill="1" applyBorder="1" applyAlignment="1">
      <alignment horizontal="center" vertical="center" wrapText="1"/>
    </xf>
    <xf numFmtId="3" fontId="11" fillId="0" borderId="58" xfId="11" applyNumberFormat="1" applyFont="1" applyFill="1" applyBorder="1" applyAlignment="1">
      <alignment horizontal="center" vertical="center" wrapText="1"/>
    </xf>
    <xf numFmtId="3" fontId="12" fillId="0" borderId="0" xfId="11" applyNumberFormat="1" applyFont="1" applyFill="1" applyAlignment="1">
      <alignment horizontal="center" vertical="center" wrapText="1"/>
    </xf>
    <xf numFmtId="3" fontId="11" fillId="0" borderId="11" xfId="11" applyNumberFormat="1" applyFont="1" applyFill="1" applyBorder="1" applyAlignment="1">
      <alignment horizontal="center" vertical="center" wrapText="1"/>
    </xf>
    <xf numFmtId="3" fontId="7" fillId="0" borderId="0" xfId="11" applyNumberFormat="1" applyFont="1" applyFill="1" applyAlignment="1">
      <alignment vertical="center" wrapText="1"/>
    </xf>
    <xf numFmtId="3" fontId="7" fillId="0" borderId="0" xfId="11" applyNumberFormat="1" applyFont="1" applyFill="1" applyAlignment="1">
      <alignment horizontal="center" vertical="center" wrapText="1"/>
    </xf>
    <xf numFmtId="3" fontId="12" fillId="0" borderId="0" xfId="11" applyNumberFormat="1" applyFont="1" applyFill="1" applyAlignment="1">
      <alignment vertical="center" wrapText="1"/>
    </xf>
    <xf numFmtId="3" fontId="11" fillId="0" borderId="34" xfId="11" applyNumberFormat="1" applyFont="1" applyFill="1" applyBorder="1" applyAlignment="1">
      <alignment horizontal="center" vertical="center" wrapText="1"/>
    </xf>
    <xf numFmtId="3" fontId="11" fillId="0" borderId="34" xfId="11" applyNumberFormat="1" applyFont="1" applyFill="1" applyBorder="1" applyAlignment="1">
      <alignment horizontal="left" vertical="center" wrapText="1" indent="1"/>
    </xf>
    <xf numFmtId="3" fontId="11" fillId="0" borderId="9" xfId="11" applyNumberFormat="1" applyFont="1" applyFill="1" applyBorder="1" applyAlignment="1" applyProtection="1">
      <alignment vertical="center" wrapText="1"/>
    </xf>
    <xf numFmtId="3" fontId="11" fillId="0" borderId="47" xfId="11" applyNumberFormat="1" applyFont="1" applyFill="1" applyBorder="1" applyAlignment="1">
      <alignment horizontal="center" vertical="center" wrapText="1"/>
    </xf>
    <xf numFmtId="3" fontId="11" fillId="0" borderId="58" xfId="11" applyNumberFormat="1" applyFont="1" applyFill="1" applyBorder="1" applyAlignment="1" applyProtection="1">
      <alignment vertical="center" wrapText="1"/>
    </xf>
    <xf numFmtId="3" fontId="11" fillId="0" borderId="11" xfId="11" applyNumberFormat="1" applyFont="1" applyFill="1" applyBorder="1" applyAlignment="1">
      <alignment horizontal="center" vertical="center"/>
    </xf>
    <xf numFmtId="3" fontId="11" fillId="0" borderId="47" xfId="31" applyNumberFormat="1" applyFont="1" applyFill="1" applyBorder="1" applyAlignment="1" applyProtection="1">
      <alignment horizontal="center" vertical="center" wrapText="1"/>
    </xf>
    <xf numFmtId="3" fontId="11" fillId="0" borderId="47" xfId="11" applyNumberFormat="1" applyFont="1" applyFill="1" applyBorder="1" applyAlignment="1" applyProtection="1">
      <alignment vertical="center" wrapText="1"/>
    </xf>
    <xf numFmtId="3" fontId="11" fillId="0" borderId="87" xfId="11" applyNumberFormat="1" applyFont="1" applyFill="1" applyBorder="1" applyAlignment="1">
      <alignment horizontal="center" vertical="center"/>
    </xf>
    <xf numFmtId="3" fontId="11" fillId="0" borderId="29" xfId="11" applyNumberFormat="1" applyFont="1" applyFill="1" applyBorder="1" applyAlignment="1">
      <alignment horizontal="center" vertical="center" wrapText="1"/>
    </xf>
    <xf numFmtId="3" fontId="12" fillId="0" borderId="17" xfId="11" applyNumberFormat="1" applyFont="1" applyFill="1" applyBorder="1" applyAlignment="1" applyProtection="1">
      <alignment vertical="center" wrapText="1"/>
      <protection locked="0"/>
    </xf>
    <xf numFmtId="3" fontId="12" fillId="0" borderId="49" xfId="11" applyNumberFormat="1" applyFont="1" applyFill="1" applyBorder="1" applyAlignment="1" applyProtection="1">
      <alignment vertical="center" wrapText="1"/>
      <protection locked="0"/>
    </xf>
    <xf numFmtId="3" fontId="12" fillId="0" borderId="56" xfId="11" applyNumberFormat="1" applyFont="1" applyFill="1" applyBorder="1" applyAlignment="1" applyProtection="1">
      <alignment vertical="center" wrapText="1"/>
      <protection locked="0"/>
    </xf>
    <xf numFmtId="3" fontId="12" fillId="0" borderId="62" xfId="11" applyNumberFormat="1" applyFont="1" applyFill="1" applyBorder="1" applyAlignment="1" applyProtection="1">
      <alignment vertical="center" wrapText="1"/>
      <protection locked="0"/>
    </xf>
    <xf numFmtId="3" fontId="12" fillId="0" borderId="2" xfId="11" applyNumberFormat="1" applyFont="1" applyFill="1" applyBorder="1" applyAlignment="1" applyProtection="1">
      <alignment vertical="center" wrapText="1"/>
      <protection locked="0"/>
    </xf>
    <xf numFmtId="3" fontId="12" fillId="0" borderId="18" xfId="11" applyNumberFormat="1" applyFont="1" applyFill="1" applyBorder="1" applyAlignment="1" applyProtection="1">
      <alignment vertical="center" wrapText="1"/>
      <protection locked="0"/>
    </xf>
    <xf numFmtId="3" fontId="11" fillId="0" borderId="22" xfId="11" applyNumberFormat="1" applyFont="1" applyFill="1" applyBorder="1" applyAlignment="1">
      <alignment vertical="center" wrapText="1"/>
    </xf>
    <xf numFmtId="3" fontId="11" fillId="0" borderId="34" xfId="11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21" xfId="11" applyNumberFormat="1" applyFont="1" applyFill="1" applyBorder="1" applyAlignment="1" applyProtection="1">
      <alignment vertical="center" wrapText="1"/>
      <protection locked="0"/>
    </xf>
    <xf numFmtId="3" fontId="11" fillId="0" borderId="21" xfId="11" applyNumberFormat="1" applyFont="1" applyFill="1" applyBorder="1" applyAlignment="1">
      <alignment vertical="center" wrapText="1"/>
    </xf>
    <xf numFmtId="3" fontId="11" fillId="0" borderId="41" xfId="11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34" xfId="11" applyNumberFormat="1" applyFont="1" applyFill="1" applyBorder="1" applyAlignment="1" applyProtection="1">
      <alignment horizontal="center" vertical="center" wrapText="1"/>
    </xf>
    <xf numFmtId="3" fontId="11" fillId="0" borderId="34" xfId="11" applyNumberFormat="1" applyFont="1" applyFill="1" applyBorder="1" applyAlignment="1" applyProtection="1">
      <alignment vertical="center" wrapText="1"/>
      <protection locked="0"/>
    </xf>
    <xf numFmtId="3" fontId="11" fillId="0" borderId="47" xfId="11" applyNumberFormat="1" applyFont="1" applyFill="1" applyBorder="1" applyAlignment="1" applyProtection="1">
      <alignment vertical="center" wrapText="1"/>
      <protection locked="0"/>
    </xf>
    <xf numFmtId="3" fontId="11" fillId="0" borderId="58" xfId="11" applyNumberFormat="1" applyFont="1" applyFill="1" applyBorder="1" applyAlignment="1" applyProtection="1">
      <alignment vertical="center" wrapText="1"/>
      <protection locked="0"/>
    </xf>
    <xf numFmtId="3" fontId="11" fillId="0" borderId="11" xfId="11" applyNumberFormat="1" applyFont="1" applyFill="1" applyBorder="1" applyAlignment="1" applyProtection="1">
      <alignment vertical="center" wrapText="1"/>
      <protection locked="0"/>
    </xf>
    <xf numFmtId="3" fontId="11" fillId="0" borderId="10" xfId="11" applyNumberFormat="1" applyFont="1" applyFill="1" applyBorder="1" applyAlignment="1" applyProtection="1">
      <alignment vertical="center" wrapText="1"/>
      <protection locked="0"/>
    </xf>
    <xf numFmtId="3" fontId="11" fillId="0" borderId="9" xfId="11" applyNumberFormat="1" applyFont="1" applyFill="1" applyBorder="1" applyAlignment="1" applyProtection="1">
      <alignment vertical="center" wrapText="1"/>
      <protection locked="0"/>
    </xf>
    <xf numFmtId="3" fontId="12" fillId="0" borderId="21" xfId="11" applyNumberFormat="1" applyFont="1" applyFill="1" applyBorder="1" applyAlignment="1">
      <alignment horizontal="center" vertical="center" wrapText="1"/>
    </xf>
    <xf numFmtId="3" fontId="12" fillId="0" borderId="21" xfId="11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54" xfId="11" applyNumberFormat="1" applyFont="1" applyFill="1" applyBorder="1" applyAlignment="1" applyProtection="1">
      <alignment horizontal="center" vertical="center" wrapText="1"/>
      <protection locked="0"/>
    </xf>
    <xf numFmtId="3" fontId="12" fillId="0" borderId="48" xfId="11" applyNumberFormat="1" applyFont="1" applyFill="1" applyBorder="1" applyAlignment="1" applyProtection="1">
      <alignment vertical="center" wrapText="1"/>
      <protection locked="0"/>
    </xf>
    <xf numFmtId="3" fontId="12" fillId="0" borderId="61" xfId="11" applyNumberFormat="1" applyFont="1" applyFill="1" applyBorder="1" applyAlignment="1" applyProtection="1">
      <alignment vertical="center" wrapText="1"/>
      <protection locked="0"/>
    </xf>
    <xf numFmtId="3" fontId="12" fillId="0" borderId="38" xfId="11" applyNumberFormat="1" applyFont="1" applyFill="1" applyBorder="1" applyAlignment="1" applyProtection="1">
      <alignment vertical="center" wrapText="1"/>
      <protection locked="0"/>
    </xf>
    <xf numFmtId="3" fontId="12" fillId="0" borderId="39" xfId="11" applyNumberFormat="1" applyFont="1" applyFill="1" applyBorder="1" applyAlignment="1" applyProtection="1">
      <alignment vertical="center" wrapText="1"/>
      <protection locked="0"/>
    </xf>
    <xf numFmtId="165" fontId="11" fillId="0" borderId="41" xfId="11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24" xfId="11" applyNumberFormat="1" applyFont="1" applyFill="1" applyBorder="1" applyAlignment="1">
      <alignment horizontal="center" vertical="center" wrapText="1"/>
    </xf>
    <xf numFmtId="3" fontId="12" fillId="0" borderId="5" xfId="11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24" xfId="11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11" applyNumberFormat="1" applyFont="1" applyFill="1" applyBorder="1" applyAlignment="1" applyProtection="1">
      <alignment vertical="center" wrapText="1"/>
      <protection locked="0"/>
    </xf>
    <xf numFmtId="3" fontId="12" fillId="0" borderId="63" xfId="11" applyNumberFormat="1" applyFont="1" applyFill="1" applyBorder="1" applyAlignment="1" applyProtection="1">
      <alignment vertical="center" wrapText="1"/>
      <protection locked="0"/>
    </xf>
    <xf numFmtId="3" fontId="12" fillId="0" borderId="25" xfId="11" applyNumberFormat="1" applyFont="1" applyFill="1" applyBorder="1" applyAlignment="1" applyProtection="1">
      <alignment vertical="center" wrapText="1"/>
      <protection locked="0"/>
    </xf>
    <xf numFmtId="3" fontId="12" fillId="0" borderId="26" xfId="11" applyNumberFormat="1" applyFont="1" applyFill="1" applyBorder="1" applyAlignment="1" applyProtection="1">
      <alignment vertical="center" wrapText="1"/>
      <protection locked="0"/>
    </xf>
    <xf numFmtId="3" fontId="11" fillId="0" borderId="88" xfId="11" applyNumberFormat="1" applyFont="1" applyFill="1" applyBorder="1" applyAlignment="1">
      <alignment vertical="center" wrapText="1"/>
    </xf>
    <xf numFmtId="3" fontId="21" fillId="0" borderId="49" xfId="11" applyNumberFormat="1" applyFont="1" applyFill="1" applyBorder="1" applyAlignment="1" applyProtection="1">
      <alignment vertical="center" wrapText="1"/>
      <protection locked="0"/>
    </xf>
    <xf numFmtId="3" fontId="21" fillId="0" borderId="56" xfId="11" applyNumberFormat="1" applyFont="1" applyFill="1" applyBorder="1" applyAlignment="1" applyProtection="1">
      <alignment vertical="center" wrapText="1"/>
      <protection locked="0"/>
    </xf>
    <xf numFmtId="3" fontId="21" fillId="0" borderId="62" xfId="11" applyNumberFormat="1" applyFont="1" applyFill="1" applyBorder="1" applyAlignment="1" applyProtection="1">
      <alignment vertical="center" wrapText="1"/>
      <protection locked="0"/>
    </xf>
    <xf numFmtId="3" fontId="21" fillId="0" borderId="2" xfId="11" applyNumberFormat="1" applyFont="1" applyFill="1" applyBorder="1" applyAlignment="1" applyProtection="1">
      <alignment vertical="center" wrapText="1"/>
      <protection locked="0"/>
    </xf>
    <xf numFmtId="3" fontId="21" fillId="0" borderId="63" xfId="11" applyNumberFormat="1" applyFont="1" applyFill="1" applyBorder="1" applyAlignment="1">
      <alignment horizontal="center" vertical="center" wrapText="1"/>
    </xf>
    <xf numFmtId="1" fontId="21" fillId="0" borderId="25" xfId="11" applyNumberFormat="1" applyFont="1" applyFill="1" applyBorder="1" applyAlignment="1" applyProtection="1">
      <alignment horizontal="center" vertical="center" wrapText="1"/>
      <protection locked="0"/>
    </xf>
    <xf numFmtId="3" fontId="21" fillId="0" borderId="35" xfId="11" applyNumberFormat="1" applyFont="1" applyFill="1" applyBorder="1" applyAlignment="1" applyProtection="1">
      <alignment vertical="center" wrapText="1"/>
      <protection locked="0"/>
    </xf>
    <xf numFmtId="3" fontId="11" fillId="3" borderId="58" xfId="11" applyNumberFormat="1" applyFont="1" applyFill="1" applyBorder="1" applyAlignment="1" applyProtection="1">
      <alignment horizontal="center" vertical="center" wrapText="1"/>
    </xf>
    <xf numFmtId="3" fontId="11" fillId="0" borderId="34" xfId="11" applyNumberFormat="1" applyFont="1" applyFill="1" applyBorder="1" applyAlignment="1">
      <alignment vertical="center" wrapText="1"/>
    </xf>
    <xf numFmtId="3" fontId="11" fillId="0" borderId="24" xfId="11" applyNumberFormat="1" applyFont="1" applyFill="1" applyBorder="1" applyAlignment="1">
      <alignment vertical="center" wrapText="1"/>
    </xf>
    <xf numFmtId="3" fontId="21" fillId="0" borderId="20" xfId="11" applyNumberFormat="1" applyFont="1" applyFill="1" applyBorder="1" applyAlignment="1" applyProtection="1">
      <alignment vertical="center" wrapText="1"/>
      <protection locked="0"/>
    </xf>
    <xf numFmtId="3" fontId="12" fillId="0" borderId="20" xfId="11" applyNumberFormat="1" applyFont="1" applyFill="1" applyBorder="1" applyAlignment="1" applyProtection="1">
      <alignment vertical="center" wrapText="1"/>
      <protection locked="0"/>
    </xf>
    <xf numFmtId="3" fontId="12" fillId="0" borderId="40" xfId="11" applyNumberFormat="1" applyFont="1" applyFill="1" applyBorder="1" applyAlignment="1" applyProtection="1">
      <alignment vertical="center" wrapText="1"/>
      <protection locked="0"/>
    </xf>
    <xf numFmtId="3" fontId="11" fillId="0" borderId="9" xfId="11" applyNumberFormat="1" applyFont="1" applyFill="1" applyBorder="1" applyAlignment="1">
      <alignment vertical="center" wrapText="1"/>
    </xf>
    <xf numFmtId="49" fontId="11" fillId="0" borderId="11" xfId="11" applyNumberFormat="1" applyFont="1" applyFill="1" applyBorder="1" applyAlignment="1">
      <alignment horizontal="center" vertical="center" wrapText="1"/>
    </xf>
    <xf numFmtId="49" fontId="12" fillId="0" borderId="63" xfId="11" applyNumberFormat="1" applyFont="1" applyFill="1" applyBorder="1" applyAlignment="1">
      <alignment horizontal="center" vertical="center" wrapText="1"/>
    </xf>
    <xf numFmtId="3" fontId="21" fillId="0" borderId="20" xfId="11" applyNumberFormat="1" applyFont="1" applyFill="1" applyBorder="1" applyAlignment="1" applyProtection="1">
      <alignment horizontal="left" vertical="center" wrapText="1" indent="2"/>
      <protection locked="0"/>
    </xf>
    <xf numFmtId="3" fontId="12" fillId="0" borderId="20" xfId="11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62" xfId="11" applyNumberFormat="1" applyFont="1" applyFill="1" applyBorder="1" applyAlignment="1">
      <alignment horizontal="center" vertical="center" wrapText="1"/>
    </xf>
    <xf numFmtId="3" fontId="12" fillId="0" borderId="40" xfId="11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61" xfId="11" applyNumberFormat="1" applyFont="1" applyFill="1" applyBorder="1" applyAlignment="1">
      <alignment horizontal="center" vertical="center" wrapText="1"/>
    </xf>
    <xf numFmtId="3" fontId="10" fillId="0" borderId="0" xfId="11" applyNumberFormat="1" applyFont="1" applyFill="1" applyAlignment="1">
      <alignment horizontal="right" vertical="center"/>
    </xf>
    <xf numFmtId="3" fontId="21" fillId="0" borderId="0" xfId="11" applyNumberFormat="1" applyFont="1" applyFill="1" applyAlignment="1">
      <alignment vertical="center" wrapText="1"/>
    </xf>
    <xf numFmtId="3" fontId="21" fillId="0" borderId="0" xfId="11" applyNumberFormat="1" applyFont="1" applyFill="1" applyAlignment="1">
      <alignment horizontal="center" vertical="center" wrapText="1"/>
    </xf>
    <xf numFmtId="3" fontId="11" fillId="0" borderId="9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vertical="center" wrapText="1"/>
    </xf>
    <xf numFmtId="3" fontId="11" fillId="0" borderId="26" xfId="33" applyNumberFormat="1" applyFont="1" applyFill="1" applyBorder="1" applyAlignment="1" applyProtection="1">
      <alignment vertical="center"/>
      <protection locked="0"/>
    </xf>
    <xf numFmtId="3" fontId="11" fillId="0" borderId="18" xfId="33" applyNumberFormat="1" applyFont="1" applyFill="1" applyBorder="1" applyAlignment="1" applyProtection="1">
      <alignment vertical="center"/>
      <protection locked="0"/>
    </xf>
    <xf numFmtId="3" fontId="11" fillId="0" borderId="22" xfId="33" applyNumberFormat="1" applyFont="1" applyFill="1" applyBorder="1" applyAlignment="1" applyProtection="1">
      <alignment vertical="center"/>
    </xf>
    <xf numFmtId="3" fontId="11" fillId="0" borderId="17" xfId="33" applyNumberFormat="1" applyFont="1" applyFill="1" applyBorder="1" applyAlignment="1" applyProtection="1">
      <alignment vertical="center"/>
      <protection locked="0"/>
    </xf>
    <xf numFmtId="3" fontId="12" fillId="0" borderId="18" xfId="33" applyNumberFormat="1" applyFont="1" applyFill="1" applyBorder="1" applyAlignment="1" applyProtection="1">
      <alignment vertical="center"/>
      <protection locked="0"/>
    </xf>
    <xf numFmtId="3" fontId="12" fillId="0" borderId="62" xfId="33" applyNumberFormat="1" applyFont="1" applyFill="1" applyBorder="1" applyAlignment="1" applyProtection="1">
      <alignment horizontal="left" vertical="center" indent="1"/>
    </xf>
    <xf numFmtId="3" fontId="11" fillId="0" borderId="21" xfId="33" applyNumberFormat="1" applyFont="1" applyFill="1" applyBorder="1" applyAlignment="1" applyProtection="1">
      <alignment vertical="center"/>
    </xf>
    <xf numFmtId="3" fontId="11" fillId="0" borderId="39" xfId="33" applyNumberFormat="1" applyFont="1" applyFill="1" applyBorder="1" applyAlignment="1" applyProtection="1">
      <alignment vertical="center"/>
      <protection locked="0"/>
    </xf>
    <xf numFmtId="3" fontId="12" fillId="0" borderId="39" xfId="33" applyNumberFormat="1" applyFont="1" applyFill="1" applyBorder="1" applyAlignment="1" applyProtection="1">
      <alignment vertical="center"/>
      <protection locked="0"/>
    </xf>
    <xf numFmtId="3" fontId="12" fillId="0" borderId="61" xfId="33" applyNumberFormat="1" applyFont="1" applyFill="1" applyBorder="1" applyAlignment="1" applyProtection="1">
      <alignment horizontal="left" vertical="center" indent="1"/>
    </xf>
    <xf numFmtId="3" fontId="12" fillId="0" borderId="86" xfId="33" applyNumberFormat="1" applyFont="1" applyFill="1" applyBorder="1" applyAlignment="1" applyProtection="1">
      <alignment horizontal="left" vertical="center" indent="1"/>
    </xf>
    <xf numFmtId="3" fontId="11" fillId="0" borderId="51" xfId="33" applyNumberFormat="1" applyFont="1" applyFill="1" applyBorder="1" applyAlignment="1" applyProtection="1">
      <alignment horizontal="center" vertical="center"/>
    </xf>
    <xf numFmtId="3" fontId="11" fillId="0" borderId="11" xfId="33" applyNumberFormat="1" applyFont="1" applyFill="1" applyBorder="1" applyAlignment="1" applyProtection="1">
      <alignment horizontal="center" vertical="center" wrapText="1"/>
    </xf>
    <xf numFmtId="3" fontId="11" fillId="0" borderId="9" xfId="33" applyNumberFormat="1" applyFont="1" applyFill="1" applyBorder="1" applyAlignment="1" applyProtection="1">
      <alignment horizontal="center" vertical="center"/>
    </xf>
    <xf numFmtId="3" fontId="11" fillId="0" borderId="34" xfId="33" applyNumberFormat="1" applyFont="1" applyFill="1" applyBorder="1" applyAlignment="1" applyProtection="1">
      <alignment horizontal="center" vertical="center"/>
    </xf>
    <xf numFmtId="3" fontId="11" fillId="0" borderId="9" xfId="33" applyNumberFormat="1" applyFont="1" applyFill="1" applyBorder="1" applyAlignment="1" applyProtection="1">
      <alignment vertical="center"/>
    </xf>
    <xf numFmtId="3" fontId="11" fillId="0" borderId="9" xfId="33" applyNumberFormat="1" applyFont="1" applyFill="1" applyBorder="1" applyAlignment="1" applyProtection="1">
      <alignment horizontal="left" indent="1"/>
      <protection locked="0"/>
    </xf>
    <xf numFmtId="3" fontId="11" fillId="0" borderId="52" xfId="11" applyNumberFormat="1" applyFont="1" applyFill="1" applyBorder="1" applyAlignment="1">
      <alignment horizontal="center" vertical="center"/>
    </xf>
    <xf numFmtId="3" fontId="11" fillId="0" borderId="85" xfId="11" applyNumberFormat="1" applyFont="1" applyFill="1" applyBorder="1" applyAlignment="1">
      <alignment horizontal="center" vertical="center"/>
    </xf>
    <xf numFmtId="3" fontId="11" fillId="0" borderId="52" xfId="33" applyNumberFormat="1" applyFont="1" applyFill="1" applyBorder="1" applyAlignment="1" applyProtection="1">
      <alignment horizontal="center" vertical="center"/>
    </xf>
    <xf numFmtId="3" fontId="11" fillId="0" borderId="11" xfId="33" applyNumberFormat="1" applyFont="1" applyFill="1" applyBorder="1" applyAlignment="1" applyProtection="1">
      <alignment horizontal="left" vertical="center" indent="1"/>
    </xf>
    <xf numFmtId="3" fontId="11" fillId="0" borderId="58" xfId="33" applyNumberFormat="1" applyFont="1" applyFill="1" applyBorder="1" applyAlignment="1" applyProtection="1">
      <alignment vertical="center"/>
    </xf>
    <xf numFmtId="3" fontId="11" fillId="0" borderId="11" xfId="33" applyNumberFormat="1" applyFont="1" applyFill="1" applyBorder="1" applyAlignment="1" applyProtection="1">
      <alignment vertical="center"/>
    </xf>
    <xf numFmtId="3" fontId="11" fillId="0" borderId="10" xfId="33" applyNumberFormat="1" applyFont="1" applyFill="1" applyBorder="1" applyAlignment="1" applyProtection="1">
      <alignment vertical="center"/>
    </xf>
    <xf numFmtId="3" fontId="11" fillId="0" borderId="12" xfId="33" applyNumberFormat="1" applyFont="1" applyFill="1" applyBorder="1" applyAlignment="1" applyProtection="1">
      <alignment vertical="center"/>
    </xf>
    <xf numFmtId="3" fontId="11" fillId="0" borderId="86" xfId="33" applyNumberFormat="1" applyFont="1" applyFill="1" applyBorder="1" applyAlignment="1" applyProtection="1">
      <alignment horizontal="left" vertical="center" indent="1"/>
    </xf>
    <xf numFmtId="3" fontId="11" fillId="0" borderId="34" xfId="33" applyNumberFormat="1" applyFont="1" applyFill="1" applyBorder="1" applyAlignment="1" applyProtection="1">
      <alignment vertical="center"/>
    </xf>
    <xf numFmtId="3" fontId="11" fillId="0" borderId="89" xfId="33" applyNumberFormat="1" applyFont="1" applyFill="1" applyBorder="1" applyAlignment="1" applyProtection="1">
      <alignment horizontal="left" vertical="center" indent="1"/>
    </xf>
    <xf numFmtId="3" fontId="11" fillId="0" borderId="58" xfId="33" applyNumberFormat="1" applyFont="1" applyFill="1" applyBorder="1" applyAlignment="1" applyProtection="1"/>
    <xf numFmtId="3" fontId="11" fillId="0" borderId="9" xfId="33" applyNumberFormat="1" applyFont="1" applyFill="1" applyBorder="1" applyAlignment="1" applyProtection="1"/>
    <xf numFmtId="3" fontId="11" fillId="0" borderId="10" xfId="33" applyNumberFormat="1" applyFont="1" applyFill="1" applyBorder="1" applyAlignment="1" applyProtection="1"/>
    <xf numFmtId="3" fontId="11" fillId="0" borderId="34" xfId="33" applyNumberFormat="1" applyFont="1" applyFill="1" applyBorder="1" applyAlignment="1" applyProtection="1"/>
    <xf numFmtId="3" fontId="12" fillId="0" borderId="0" xfId="33" applyNumberFormat="1" applyFont="1" applyFill="1" applyProtection="1">
      <protection locked="0"/>
    </xf>
    <xf numFmtId="3" fontId="21" fillId="0" borderId="0" xfId="33" applyNumberFormat="1" applyFont="1" applyFill="1" applyAlignment="1" applyProtection="1">
      <alignment horizontal="right"/>
    </xf>
    <xf numFmtId="3" fontId="12" fillId="0" borderId="63" xfId="33" applyNumberFormat="1" applyFont="1" applyFill="1" applyBorder="1" applyAlignment="1" applyProtection="1">
      <alignment horizontal="left" vertical="center" indent="1"/>
    </xf>
    <xf numFmtId="3" fontId="12" fillId="0" borderId="26" xfId="33" applyNumberFormat="1" applyFont="1" applyFill="1" applyBorder="1" applyAlignment="1" applyProtection="1">
      <alignment vertical="center"/>
      <protection locked="0"/>
    </xf>
    <xf numFmtId="3" fontId="11" fillId="0" borderId="86" xfId="11" applyNumberFormat="1" applyFont="1" applyFill="1" applyBorder="1" applyAlignment="1">
      <alignment horizontal="center" vertical="center"/>
    </xf>
    <xf numFmtId="3" fontId="11" fillId="0" borderId="45" xfId="11" applyNumberFormat="1" applyFont="1" applyFill="1" applyBorder="1" applyAlignment="1">
      <alignment horizontal="center" vertical="center"/>
    </xf>
    <xf numFmtId="3" fontId="7" fillId="0" borderId="0" xfId="31" applyNumberFormat="1" applyFont="1" applyFill="1" applyAlignment="1"/>
    <xf numFmtId="3" fontId="12" fillId="0" borderId="18" xfId="11" applyNumberFormat="1" applyFont="1" applyFill="1" applyBorder="1" applyAlignment="1" applyProtection="1">
      <alignment horizontal="right" vertical="center" wrapText="1"/>
      <protection locked="0"/>
    </xf>
    <xf numFmtId="3" fontId="21" fillId="0" borderId="18" xfId="11" applyNumberFormat="1" applyFont="1" applyFill="1" applyBorder="1" applyAlignment="1" applyProtection="1">
      <alignment horizontal="right" vertical="center" wrapText="1"/>
      <protection locked="0"/>
    </xf>
    <xf numFmtId="0" fontId="12" fillId="0" borderId="56" xfId="11" applyFont="1" applyFill="1" applyBorder="1" applyAlignment="1" applyProtection="1">
      <alignment horizontal="left" vertical="center" wrapText="1" indent="1"/>
      <protection locked="0"/>
    </xf>
    <xf numFmtId="3" fontId="12" fillId="0" borderId="17" xfId="1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1" applyFont="1" applyFill="1" applyBorder="1" applyAlignment="1" applyProtection="1">
      <alignment horizontal="left" vertical="center" wrapText="1" indent="1"/>
      <protection locked="0"/>
    </xf>
    <xf numFmtId="3" fontId="11" fillId="0" borderId="9" xfId="11" applyNumberFormat="1" applyFont="1" applyFill="1" applyBorder="1" applyAlignment="1" applyProtection="1">
      <alignment horizontal="right" vertical="center" wrapText="1"/>
      <protection locked="0"/>
    </xf>
    <xf numFmtId="0" fontId="11" fillId="0" borderId="58" xfId="11" applyFont="1" applyFill="1" applyBorder="1" applyAlignment="1" applyProtection="1">
      <alignment horizontal="left" vertical="center" wrapText="1"/>
      <protection locked="0"/>
    </xf>
    <xf numFmtId="3" fontId="21" fillId="0" borderId="26" xfId="11" applyNumberFormat="1" applyFont="1" applyFill="1" applyBorder="1" applyAlignment="1">
      <alignment vertical="center" wrapText="1"/>
    </xf>
    <xf numFmtId="3" fontId="12" fillId="0" borderId="26" xfId="11" applyNumberFormat="1" applyFont="1" applyFill="1" applyBorder="1" applyAlignment="1">
      <alignment vertical="center" wrapText="1"/>
    </xf>
    <xf numFmtId="0" fontId="12" fillId="0" borderId="14" xfId="11" applyFont="1" applyFill="1" applyBorder="1" applyAlignment="1">
      <alignment horizontal="left" vertical="center" wrapText="1" indent="1"/>
    </xf>
    <xf numFmtId="0" fontId="11" fillId="0" borderId="54" xfId="11" applyFont="1" applyFill="1" applyBorder="1" applyAlignment="1">
      <alignment horizontal="center" vertical="center" wrapText="1"/>
    </xf>
    <xf numFmtId="3" fontId="11" fillId="0" borderId="96" xfId="11" applyNumberFormat="1" applyFont="1" applyFill="1" applyBorder="1" applyAlignment="1">
      <alignment horizontal="center" vertical="center" wrapText="1"/>
    </xf>
    <xf numFmtId="0" fontId="11" fillId="0" borderId="3" xfId="11" applyFont="1" applyFill="1" applyBorder="1" applyAlignment="1" applyProtection="1">
      <alignment horizontal="left" vertical="center" wrapText="1"/>
      <protection locked="0"/>
    </xf>
    <xf numFmtId="3" fontId="11" fillId="0" borderId="32" xfId="1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1" applyFont="1" applyFill="1" applyAlignment="1">
      <alignment horizontal="center" vertical="center"/>
    </xf>
    <xf numFmtId="0" fontId="11" fillId="0" borderId="0" xfId="11" applyFont="1" applyFill="1" applyAlignment="1">
      <alignment horizontal="centerContinuous" vertical="center"/>
    </xf>
    <xf numFmtId="49" fontId="11" fillId="0" borderId="47" xfId="11" applyNumberFormat="1" applyFont="1" applyFill="1" applyBorder="1" applyAlignment="1">
      <alignment horizontal="center" vertical="center" wrapText="1"/>
    </xf>
    <xf numFmtId="0" fontId="11" fillId="0" borderId="58" xfId="11" applyFont="1" applyFill="1" applyBorder="1" applyAlignment="1">
      <alignment horizontal="center" vertical="center" wrapText="1"/>
    </xf>
    <xf numFmtId="0" fontId="11" fillId="0" borderId="9" xfId="11" applyFont="1" applyFill="1" applyBorder="1" applyAlignment="1">
      <alignment horizontal="center" vertical="center" wrapText="1"/>
    </xf>
    <xf numFmtId="49" fontId="21" fillId="0" borderId="63" xfId="11" applyNumberFormat="1" applyFont="1" applyFill="1" applyBorder="1" applyAlignment="1">
      <alignment horizontal="center" vertical="center" wrapText="1"/>
    </xf>
    <xf numFmtId="49" fontId="12" fillId="0" borderId="60" xfId="11" applyNumberFormat="1" applyFont="1" applyFill="1" applyBorder="1" applyAlignment="1">
      <alignment horizontal="center" vertical="center" wrapText="1"/>
    </xf>
    <xf numFmtId="49" fontId="21" fillId="0" borderId="62" xfId="11" applyNumberFormat="1" applyFont="1" applyFill="1" applyBorder="1" applyAlignment="1">
      <alignment horizontal="center" vertical="center" wrapText="1"/>
    </xf>
    <xf numFmtId="0" fontId="7" fillId="0" borderId="0" xfId="11" applyFont="1" applyFill="1" applyAlignment="1">
      <alignment horizontal="right"/>
    </xf>
    <xf numFmtId="0" fontId="11" fillId="0" borderId="11" xfId="11" applyFont="1" applyFill="1" applyBorder="1" applyAlignment="1">
      <alignment horizontal="center" vertical="center"/>
    </xf>
    <xf numFmtId="0" fontId="12" fillId="0" borderId="98" xfId="11" applyFont="1" applyFill="1" applyBorder="1" applyAlignment="1">
      <alignment horizontal="center" vertical="center"/>
    </xf>
    <xf numFmtId="0" fontId="21" fillId="0" borderId="14" xfId="11" applyFont="1" applyFill="1" applyBorder="1" applyAlignment="1">
      <alignment horizontal="left" vertical="center" wrapText="1" indent="3"/>
    </xf>
    <xf numFmtId="0" fontId="12" fillId="0" borderId="14" xfId="11" applyFont="1" applyFill="1" applyBorder="1" applyAlignment="1">
      <alignment horizontal="left" vertical="center" wrapText="1" indent="2"/>
    </xf>
    <xf numFmtId="0" fontId="12" fillId="0" borderId="56" xfId="11" applyFont="1" applyFill="1" applyBorder="1" applyAlignment="1" applyProtection="1">
      <alignment horizontal="left" vertical="center" wrapText="1" indent="2"/>
      <protection locked="0"/>
    </xf>
    <xf numFmtId="0" fontId="21" fillId="0" borderId="56" xfId="11" applyFont="1" applyFill="1" applyBorder="1" applyAlignment="1" applyProtection="1">
      <alignment horizontal="left" vertical="center" wrapText="1" indent="3"/>
      <protection locked="0"/>
    </xf>
    <xf numFmtId="0" fontId="12" fillId="0" borderId="8" xfId="11" applyFont="1" applyFill="1" applyBorder="1" applyAlignment="1" applyProtection="1">
      <alignment horizontal="left" vertical="center" wrapText="1" indent="2"/>
      <protection locked="0"/>
    </xf>
    <xf numFmtId="0" fontId="10" fillId="0" borderId="11" xfId="11" applyFont="1" applyFill="1" applyBorder="1" applyAlignment="1">
      <alignment horizontal="center" vertical="center"/>
    </xf>
    <xf numFmtId="0" fontId="10" fillId="0" borderId="58" xfId="11" applyFont="1" applyFill="1" applyBorder="1" applyAlignment="1" applyProtection="1">
      <alignment horizontal="left" vertical="center" wrapText="1"/>
      <protection locked="0"/>
    </xf>
    <xf numFmtId="3" fontId="10" fillId="0" borderId="9" xfId="11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11" applyFont="1" applyFill="1" applyBorder="1" applyAlignment="1">
      <alignment horizontal="center" vertical="center" wrapText="1"/>
    </xf>
    <xf numFmtId="49" fontId="12" fillId="0" borderId="98" xfId="11" applyNumberFormat="1" applyFont="1" applyFill="1" applyBorder="1" applyAlignment="1">
      <alignment horizontal="center" vertical="center" wrapText="1"/>
    </xf>
    <xf numFmtId="0" fontId="12" fillId="0" borderId="3" xfId="11" applyFont="1" applyFill="1" applyBorder="1" applyAlignment="1">
      <alignment horizontal="left" vertical="center" wrapText="1" indent="1"/>
    </xf>
    <xf numFmtId="3" fontId="12" fillId="0" borderId="32" xfId="11" applyNumberFormat="1" applyFont="1" applyFill="1" applyBorder="1" applyAlignment="1">
      <alignment vertical="center" wrapText="1"/>
    </xf>
    <xf numFmtId="0" fontId="12" fillId="0" borderId="0" xfId="0" applyFont="1" applyFill="1"/>
    <xf numFmtId="3" fontId="12" fillId="0" borderId="42" xfId="11" applyNumberFormat="1" applyFont="1" applyFill="1" applyBorder="1" applyAlignment="1" applyProtection="1">
      <alignment vertical="center" wrapText="1"/>
      <protection locked="0"/>
    </xf>
    <xf numFmtId="165" fontId="11" fillId="0" borderId="0" xfId="11" applyNumberFormat="1" applyFont="1" applyFill="1" applyBorder="1" applyAlignment="1" applyProtection="1">
      <alignment horizontal="center" vertical="center" wrapText="1"/>
    </xf>
    <xf numFmtId="165" fontId="11" fillId="0" borderId="3" xfId="11" applyNumberFormat="1" applyFont="1" applyFill="1" applyBorder="1" applyAlignment="1" applyProtection="1">
      <alignment horizontal="center" vertical="center" wrapText="1"/>
    </xf>
    <xf numFmtId="165" fontId="11" fillId="0" borderId="87" xfId="11" applyNumberFormat="1" applyFont="1" applyFill="1" applyBorder="1" applyAlignment="1" applyProtection="1">
      <alignment horizontal="center" vertical="center" wrapText="1"/>
    </xf>
    <xf numFmtId="165" fontId="11" fillId="0" borderId="58" xfId="11" applyNumberFormat="1" applyFont="1" applyFill="1" applyBorder="1" applyAlignment="1">
      <alignment horizontal="center" vertical="center" wrapText="1"/>
    </xf>
    <xf numFmtId="3" fontId="11" fillId="0" borderId="41" xfId="11" applyNumberFormat="1" applyFont="1" applyFill="1" applyBorder="1" applyAlignment="1" applyProtection="1">
      <alignment vertical="center" wrapText="1"/>
      <protection locked="0"/>
    </xf>
    <xf numFmtId="3" fontId="12" fillId="0" borderId="8" xfId="11" applyNumberFormat="1" applyFont="1" applyFill="1" applyBorder="1" applyAlignment="1" applyProtection="1">
      <alignment vertical="center" wrapText="1"/>
      <protection locked="0"/>
    </xf>
    <xf numFmtId="3" fontId="12" fillId="0" borderId="6" xfId="11" applyNumberFormat="1" applyFont="1" applyFill="1" applyBorder="1" applyAlignment="1" applyProtection="1">
      <alignment vertical="center" wrapText="1"/>
      <protection locked="0"/>
    </xf>
    <xf numFmtId="3" fontId="10" fillId="0" borderId="87" xfId="11" applyNumberFormat="1" applyFont="1" applyFill="1" applyBorder="1" applyAlignment="1" applyProtection="1">
      <alignment vertical="center" wrapText="1"/>
      <protection locked="0"/>
    </xf>
    <xf numFmtId="3" fontId="10" fillId="0" borderId="43" xfId="11" applyNumberFormat="1" applyFont="1" applyFill="1" applyBorder="1" applyAlignment="1" applyProtection="1">
      <alignment vertical="center" wrapText="1"/>
      <protection locked="0"/>
    </xf>
    <xf numFmtId="3" fontId="11" fillId="0" borderId="87" xfId="11" applyNumberFormat="1" applyFont="1" applyFill="1" applyBorder="1" applyAlignment="1" applyProtection="1">
      <alignment vertical="center" wrapText="1"/>
    </xf>
    <xf numFmtId="3" fontId="11" fillId="0" borderId="43" xfId="11" applyNumberFormat="1" applyFont="1" applyFill="1" applyBorder="1" applyAlignment="1" applyProtection="1">
      <alignment vertical="center" wrapText="1"/>
    </xf>
    <xf numFmtId="165" fontId="12" fillId="0" borderId="41" xfId="11" applyNumberFormat="1" applyFont="1" applyFill="1" applyBorder="1" applyAlignment="1">
      <alignment vertical="center" wrapText="1"/>
    </xf>
    <xf numFmtId="165" fontId="9" fillId="0" borderId="0" xfId="11" applyNumberFormat="1" applyFont="1" applyFill="1" applyAlignment="1">
      <alignment horizontal="center" vertical="center" wrapText="1"/>
    </xf>
    <xf numFmtId="165" fontId="9" fillId="0" borderId="0" xfId="11" applyNumberFormat="1" applyFont="1" applyFill="1" applyAlignment="1">
      <alignment vertical="center" wrapText="1"/>
    </xf>
    <xf numFmtId="165" fontId="11" fillId="0" borderId="13" xfId="11" applyNumberFormat="1" applyFont="1" applyFill="1" applyBorder="1" applyAlignment="1">
      <alignment horizontal="center" vertical="center" wrapText="1"/>
    </xf>
    <xf numFmtId="165" fontId="11" fillId="0" borderId="27" xfId="11" applyNumberFormat="1" applyFont="1" applyFill="1" applyBorder="1" applyAlignment="1" applyProtection="1">
      <alignment horizontal="center" vertical="center" wrapText="1"/>
    </xf>
    <xf numFmtId="165" fontId="11" fillId="0" borderId="34" xfId="11" applyNumberFormat="1" applyFont="1" applyFill="1" applyBorder="1" applyAlignment="1" applyProtection="1">
      <alignment horizontal="center" vertical="center" wrapText="1"/>
    </xf>
    <xf numFmtId="165" fontId="11" fillId="0" borderId="46" xfId="11" applyNumberFormat="1" applyFont="1" applyFill="1" applyBorder="1" applyAlignment="1" applyProtection="1">
      <alignment horizontal="center" vertical="center" wrapText="1"/>
    </xf>
    <xf numFmtId="3" fontId="12" fillId="0" borderId="30" xfId="11" applyNumberFormat="1" applyFont="1" applyFill="1" applyBorder="1" applyAlignment="1" applyProtection="1">
      <alignment vertical="center" wrapText="1"/>
      <protection locked="0"/>
    </xf>
    <xf numFmtId="3" fontId="10" fillId="0" borderId="35" xfId="11" applyNumberFormat="1" applyFont="1" applyFill="1" applyBorder="1" applyAlignment="1" applyProtection="1">
      <alignment vertical="center" wrapText="1"/>
      <protection locked="0"/>
    </xf>
    <xf numFmtId="3" fontId="11" fillId="0" borderId="35" xfId="11" applyNumberFormat="1" applyFont="1" applyFill="1" applyBorder="1" applyAlignment="1" applyProtection="1">
      <alignment vertical="center" wrapText="1"/>
    </xf>
    <xf numFmtId="3" fontId="11" fillId="0" borderId="45" xfId="11" applyNumberFormat="1" applyFont="1" applyFill="1" applyBorder="1" applyAlignment="1" applyProtection="1">
      <alignment vertical="center" wrapText="1"/>
    </xf>
    <xf numFmtId="165" fontId="11" fillId="4" borderId="45" xfId="11" applyNumberFormat="1" applyFont="1" applyFill="1" applyBorder="1" applyAlignment="1" applyProtection="1">
      <alignment horizontal="center" vertical="center" wrapText="1"/>
    </xf>
    <xf numFmtId="165" fontId="11" fillId="0" borderId="54" xfId="11" applyNumberFormat="1" applyFont="1" applyFill="1" applyBorder="1" applyAlignment="1" applyProtection="1">
      <alignment horizontal="center" vertical="center" wrapText="1"/>
    </xf>
    <xf numFmtId="165" fontId="11" fillId="0" borderId="21" xfId="11" applyNumberFormat="1" applyFont="1" applyFill="1" applyBorder="1" applyAlignment="1" applyProtection="1">
      <alignment horizontal="center" vertical="center" wrapText="1"/>
    </xf>
    <xf numFmtId="165" fontId="11" fillId="0" borderId="15" xfId="11" applyNumberFormat="1" applyFont="1" applyFill="1" applyBorder="1" applyAlignment="1" applyProtection="1">
      <alignment horizontal="center" vertical="center" wrapText="1"/>
    </xf>
    <xf numFmtId="165" fontId="11" fillId="0" borderId="45" xfId="11" applyNumberFormat="1" applyFont="1" applyFill="1" applyBorder="1" applyAlignment="1">
      <alignment vertical="center" wrapText="1"/>
    </xf>
    <xf numFmtId="0" fontId="12" fillId="0" borderId="62" xfId="11" applyFont="1" applyBorder="1" applyAlignment="1">
      <alignment horizontal="center" vertical="center"/>
    </xf>
    <xf numFmtId="0" fontId="7" fillId="0" borderId="0" xfId="11" applyFont="1" applyAlignment="1">
      <alignment horizontal="center"/>
    </xf>
    <xf numFmtId="0" fontId="12" fillId="0" borderId="16" xfId="11" applyFont="1" applyBorder="1" applyAlignment="1" applyProtection="1">
      <alignment horizontal="left" vertical="center" indent="1"/>
      <protection locked="0"/>
    </xf>
    <xf numFmtId="0" fontId="12" fillId="0" borderId="56" xfId="11" applyFont="1" applyBorder="1" applyAlignment="1" applyProtection="1">
      <alignment horizontal="left" vertical="center" indent="1"/>
      <protection locked="0"/>
    </xf>
    <xf numFmtId="0" fontId="12" fillId="0" borderId="0" xfId="11" applyFont="1" applyBorder="1" applyAlignment="1">
      <alignment horizontal="center" wrapText="1"/>
    </xf>
    <xf numFmtId="0" fontId="11" fillId="0" borderId="11" xfId="11" applyFont="1" applyBorder="1" applyAlignment="1">
      <alignment horizontal="center" vertical="center" wrapText="1"/>
    </xf>
    <xf numFmtId="0" fontId="11" fillId="0" borderId="41" xfId="11" applyFont="1" applyBorder="1" applyAlignment="1">
      <alignment vertical="center"/>
    </xf>
    <xf numFmtId="0" fontId="11" fillId="0" borderId="98" xfId="11" applyFont="1" applyBorder="1" applyAlignment="1">
      <alignment horizontal="center" vertical="center" wrapText="1"/>
    </xf>
    <xf numFmtId="0" fontId="11" fillId="0" borderId="58" xfId="11" applyFont="1" applyBorder="1" applyAlignment="1">
      <alignment horizontal="center" vertical="center"/>
    </xf>
    <xf numFmtId="0" fontId="11" fillId="0" borderId="15" xfId="11" applyFont="1" applyBorder="1" applyAlignment="1">
      <alignment vertical="center"/>
    </xf>
    <xf numFmtId="0" fontId="11" fillId="0" borderId="3" xfId="11" applyFont="1" applyBorder="1" applyAlignment="1">
      <alignment horizontal="center" vertical="center"/>
    </xf>
    <xf numFmtId="0" fontId="12" fillId="0" borderId="63" xfId="11" applyFont="1" applyBorder="1" applyAlignment="1">
      <alignment horizontal="center" vertical="center"/>
    </xf>
    <xf numFmtId="0" fontId="12" fillId="0" borderId="60" xfId="11" applyFont="1" applyBorder="1" applyAlignment="1">
      <alignment horizontal="center" vertical="center"/>
    </xf>
    <xf numFmtId="0" fontId="11" fillId="0" borderId="3" xfId="11" applyFont="1" applyBorder="1" applyAlignment="1">
      <alignment vertical="center"/>
    </xf>
    <xf numFmtId="0" fontId="11" fillId="0" borderId="13" xfId="11" applyFont="1" applyBorder="1" applyAlignment="1">
      <alignment horizontal="center" vertical="center"/>
    </xf>
    <xf numFmtId="0" fontId="11" fillId="0" borderId="1" xfId="11" applyFont="1" applyBorder="1" applyAlignment="1">
      <alignment vertical="center"/>
    </xf>
    <xf numFmtId="0" fontId="12" fillId="0" borderId="20" xfId="11" applyFont="1" applyBorder="1" applyAlignment="1" applyProtection="1">
      <alignment horizontal="left" vertical="center" indent="1"/>
      <protection locked="0"/>
    </xf>
    <xf numFmtId="0" fontId="12" fillId="0" borderId="4" xfId="11" applyFont="1" applyBorder="1" applyAlignment="1" applyProtection="1">
      <alignment horizontal="left" vertical="center" indent="1"/>
      <protection locked="0"/>
    </xf>
    <xf numFmtId="0" fontId="12" fillId="0" borderId="20" xfId="11" applyFont="1" applyFill="1" applyBorder="1" applyAlignment="1" applyProtection="1">
      <alignment horizontal="left" vertical="center" indent="1"/>
      <protection locked="0"/>
    </xf>
    <xf numFmtId="0" fontId="11" fillId="0" borderId="11" xfId="11" applyFont="1" applyBorder="1" applyAlignment="1">
      <alignment horizontal="center"/>
    </xf>
    <xf numFmtId="0" fontId="11" fillId="0" borderId="61" xfId="11" applyFont="1" applyBorder="1" applyAlignment="1">
      <alignment horizontal="center"/>
    </xf>
    <xf numFmtId="0" fontId="11" fillId="0" borderId="11" xfId="11" applyFont="1" applyBorder="1" applyAlignment="1">
      <alignment horizontal="center" vertical="center"/>
    </xf>
    <xf numFmtId="0" fontId="11" fillId="0" borderId="10" xfId="11" applyFont="1" applyBorder="1" applyAlignment="1">
      <alignment vertical="center"/>
    </xf>
    <xf numFmtId="0" fontId="11" fillId="0" borderId="38" xfId="11" applyFont="1" applyBorder="1" applyAlignment="1">
      <alignment vertical="center"/>
    </xf>
    <xf numFmtId="0" fontId="12" fillId="0" borderId="7" xfId="11" applyFont="1" applyBorder="1" applyAlignment="1" applyProtection="1">
      <alignment horizontal="left" vertical="center" indent="1"/>
      <protection locked="0"/>
    </xf>
    <xf numFmtId="0" fontId="11" fillId="0" borderId="60" xfId="11" applyFont="1" applyBorder="1" applyAlignment="1">
      <alignment horizontal="center"/>
    </xf>
    <xf numFmtId="0" fontId="11" fillId="0" borderId="16" xfId="11" applyFont="1" applyBorder="1" applyAlignment="1">
      <alignment vertical="center"/>
    </xf>
    <xf numFmtId="0" fontId="11" fillId="0" borderId="7" xfId="11" applyFont="1" applyBorder="1" applyAlignment="1">
      <alignment vertical="center"/>
    </xf>
    <xf numFmtId="3" fontId="11" fillId="0" borderId="30" xfId="11" applyNumberFormat="1" applyFont="1" applyFill="1" applyBorder="1" applyAlignment="1">
      <alignment vertical="center"/>
    </xf>
    <xf numFmtId="0" fontId="12" fillId="0" borderId="61" xfId="11" applyFont="1" applyBorder="1" applyAlignment="1">
      <alignment horizontal="center"/>
    </xf>
    <xf numFmtId="3" fontId="11" fillId="0" borderId="9" xfId="31" applyNumberFormat="1" applyFont="1" applyFill="1" applyBorder="1" applyAlignment="1" applyProtection="1">
      <alignment horizontal="center" vertical="center" wrapText="1"/>
    </xf>
    <xf numFmtId="3" fontId="9" fillId="0" borderId="0" xfId="11" applyNumberFormat="1" applyFont="1" applyFill="1" applyAlignment="1">
      <alignment vertical="center" wrapText="1"/>
    </xf>
    <xf numFmtId="3" fontId="7" fillId="0" borderId="0" xfId="11" applyNumberFormat="1" applyFont="1" applyFill="1" applyAlignment="1">
      <alignment horizontal="right" vertical="center" wrapText="1"/>
    </xf>
    <xf numFmtId="3" fontId="11" fillId="0" borderId="21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39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30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7" xfId="11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11" applyNumberFormat="1" applyFont="1" applyFill="1" applyAlignment="1">
      <alignment horizontal="left" vertical="center" wrapText="1"/>
    </xf>
    <xf numFmtId="3" fontId="11" fillId="0" borderId="0" xfId="11" applyNumberFormat="1" applyFont="1" applyFill="1" applyAlignment="1">
      <alignment vertical="center" wrapText="1"/>
    </xf>
    <xf numFmtId="3" fontId="11" fillId="0" borderId="0" xfId="11" applyNumberFormat="1" applyFont="1" applyFill="1" applyAlignment="1">
      <alignment horizontal="right" vertical="center" wrapText="1"/>
    </xf>
    <xf numFmtId="3" fontId="12" fillId="0" borderId="0" xfId="11" applyNumberFormat="1" applyFont="1" applyFill="1" applyBorder="1" applyAlignment="1">
      <alignment vertical="center" wrapText="1"/>
    </xf>
    <xf numFmtId="3" fontId="11" fillId="0" borderId="0" xfId="11" applyNumberFormat="1" applyFont="1" applyFill="1" applyBorder="1" applyAlignment="1">
      <alignment vertical="center" wrapText="1"/>
    </xf>
    <xf numFmtId="0" fontId="11" fillId="0" borderId="0" xfId="11" applyFont="1" applyFill="1" applyAlignment="1">
      <alignment horizontal="center" vertical="center" wrapText="1"/>
    </xf>
    <xf numFmtId="3" fontId="11" fillId="0" borderId="0" xfId="11" applyNumberFormat="1" applyFont="1" applyFill="1" applyBorder="1" applyAlignment="1">
      <alignment horizontal="center" vertical="center" wrapText="1"/>
    </xf>
    <xf numFmtId="3" fontId="11" fillId="0" borderId="30" xfId="11" applyNumberFormat="1" applyFont="1" applyFill="1" applyBorder="1" applyAlignment="1" applyProtection="1">
      <alignment horizontal="right" wrapText="1"/>
      <protection locked="0"/>
    </xf>
    <xf numFmtId="3" fontId="11" fillId="0" borderId="17" xfId="11" applyNumberFormat="1" applyFont="1" applyFill="1" applyBorder="1" applyAlignment="1" applyProtection="1">
      <alignment horizontal="right" wrapText="1"/>
      <protection locked="0"/>
    </xf>
    <xf numFmtId="0" fontId="11" fillId="0" borderId="0" xfId="11" applyFont="1" applyFill="1" applyAlignment="1">
      <alignment horizontal="center" wrapText="1"/>
    </xf>
    <xf numFmtId="3" fontId="11" fillId="0" borderId="22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8" xfId="11" applyNumberFormat="1" applyFont="1" applyFill="1" applyBorder="1" applyAlignment="1" applyProtection="1">
      <alignment horizontal="right" vertical="center" wrapText="1"/>
      <protection locked="0"/>
    </xf>
    <xf numFmtId="3" fontId="12" fillId="0" borderId="31" xfId="11" applyNumberFormat="1" applyFont="1" applyFill="1" applyBorder="1" applyAlignment="1">
      <alignment vertical="center" wrapText="1"/>
    </xf>
    <xf numFmtId="3" fontId="12" fillId="0" borderId="98" xfId="11" applyNumberFormat="1" applyFont="1" applyFill="1" applyBorder="1" applyAlignment="1">
      <alignment vertical="center" wrapText="1"/>
    </xf>
    <xf numFmtId="3" fontId="11" fillId="0" borderId="24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26" xfId="1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1" applyFont="1" applyFill="1" applyAlignment="1">
      <alignment vertical="center" wrapText="1"/>
    </xf>
    <xf numFmtId="0" fontId="11" fillId="0" borderId="9" xfId="11" applyFont="1" applyFill="1" applyBorder="1" applyAlignment="1">
      <alignment horizontal="justify"/>
    </xf>
    <xf numFmtId="3" fontId="11" fillId="0" borderId="34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11" applyNumberFormat="1" applyFont="1" applyFill="1" applyBorder="1" applyAlignment="1">
      <alignment vertical="center" wrapText="1"/>
    </xf>
    <xf numFmtId="49" fontId="11" fillId="2" borderId="11" xfId="11" applyNumberFormat="1" applyFont="1" applyFill="1" applyBorder="1" applyAlignment="1">
      <alignment horizontal="center" vertical="center" wrapText="1"/>
    </xf>
    <xf numFmtId="3" fontId="11" fillId="2" borderId="34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11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10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9" xfId="11" applyNumberFormat="1" applyFont="1" applyFill="1" applyBorder="1" applyAlignment="1" applyProtection="1">
      <alignment horizontal="right" vertical="center" wrapText="1"/>
      <protection locked="0"/>
    </xf>
    <xf numFmtId="0" fontId="11" fillId="0" borderId="85" xfId="11" applyFont="1" applyFill="1" applyBorder="1" applyAlignment="1">
      <alignment horizontal="justify"/>
    </xf>
    <xf numFmtId="3" fontId="11" fillId="0" borderId="33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01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86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51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50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11" applyNumberFormat="1" applyFont="1" applyFill="1" applyBorder="1" applyAlignment="1" applyProtection="1">
      <alignment horizontal="right" vertical="center" wrapText="1"/>
      <protection locked="0"/>
    </xf>
    <xf numFmtId="49" fontId="11" fillId="0" borderId="99" xfId="11" applyNumberFormat="1" applyFont="1" applyFill="1" applyBorder="1" applyAlignment="1">
      <alignment horizontal="center" vertical="center" wrapText="1"/>
    </xf>
    <xf numFmtId="0" fontId="11" fillId="0" borderId="29" xfId="11" applyFont="1" applyFill="1" applyBorder="1" applyAlignment="1">
      <alignment horizontal="justify"/>
    </xf>
    <xf numFmtId="3" fontId="11" fillId="0" borderId="99" xfId="11" applyNumberFormat="1" applyFont="1" applyFill="1" applyBorder="1" applyAlignment="1">
      <alignment vertical="center" wrapText="1"/>
    </xf>
    <xf numFmtId="3" fontId="11" fillId="0" borderId="28" xfId="11" applyNumberFormat="1" applyFont="1" applyFill="1" applyBorder="1" applyAlignment="1">
      <alignment vertical="center" wrapText="1"/>
    </xf>
    <xf numFmtId="3" fontId="11" fillId="0" borderId="29" xfId="11" applyNumberFormat="1" applyFont="1" applyFill="1" applyBorder="1" applyAlignment="1">
      <alignment vertical="center" wrapText="1"/>
    </xf>
    <xf numFmtId="0" fontId="11" fillId="2" borderId="9" xfId="11" applyFont="1" applyFill="1" applyBorder="1" applyAlignment="1">
      <alignment horizontal="justify"/>
    </xf>
    <xf numFmtId="3" fontId="11" fillId="2" borderId="11" xfId="11" applyNumberFormat="1" applyFont="1" applyFill="1" applyBorder="1" applyAlignment="1">
      <alignment vertical="center" wrapText="1"/>
    </xf>
    <xf numFmtId="3" fontId="11" fillId="2" borderId="10" xfId="11" applyNumberFormat="1" applyFont="1" applyFill="1" applyBorder="1" applyAlignment="1">
      <alignment vertical="center" wrapText="1"/>
    </xf>
    <xf numFmtId="3" fontId="11" fillId="2" borderId="9" xfId="11" applyNumberFormat="1" applyFont="1" applyFill="1" applyBorder="1" applyAlignment="1">
      <alignment vertical="center" wrapText="1"/>
    </xf>
    <xf numFmtId="0" fontId="12" fillId="0" borderId="32" xfId="11" applyFont="1" applyFill="1" applyBorder="1" applyAlignment="1">
      <alignment horizontal="justify"/>
    </xf>
    <xf numFmtId="3" fontId="11" fillId="0" borderId="46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34" xfId="11" applyNumberFormat="1" applyFont="1" applyFill="1" applyBorder="1" applyAlignment="1">
      <alignment horizontal="right" vertical="center" wrapText="1"/>
    </xf>
    <xf numFmtId="3" fontId="11" fillId="2" borderId="9" xfId="11" applyNumberFormat="1" applyFont="1" applyFill="1" applyBorder="1" applyAlignment="1">
      <alignment horizontal="right" vertical="center" wrapText="1"/>
    </xf>
    <xf numFmtId="3" fontId="11" fillId="2" borderId="11" xfId="11" applyNumberFormat="1" applyFont="1" applyFill="1" applyBorder="1" applyAlignment="1">
      <alignment horizontal="right" vertical="center" wrapText="1"/>
    </xf>
    <xf numFmtId="3" fontId="11" fillId="2" borderId="10" xfId="11" applyNumberFormat="1" applyFont="1" applyFill="1" applyBorder="1" applyAlignment="1">
      <alignment horizontal="right" vertical="center" wrapText="1"/>
    </xf>
    <xf numFmtId="3" fontId="10" fillId="0" borderId="0" xfId="11" applyNumberFormat="1" applyFont="1" applyFill="1" applyBorder="1" applyAlignment="1">
      <alignment horizontal="right" wrapText="1"/>
    </xf>
    <xf numFmtId="3" fontId="11" fillId="0" borderId="47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11" applyNumberFormat="1" applyFont="1" applyFill="1" applyBorder="1" applyAlignment="1" applyProtection="1">
      <alignment horizontal="right" vertical="center" wrapText="1"/>
      <protection locked="0"/>
    </xf>
    <xf numFmtId="3" fontId="11" fillId="0" borderId="13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99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28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29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35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93" xfId="11" applyNumberFormat="1" applyFont="1" applyFill="1" applyBorder="1" applyAlignment="1" applyProtection="1">
      <alignment horizontal="right" vertical="center" wrapText="1"/>
      <protection locked="0"/>
    </xf>
    <xf numFmtId="49" fontId="11" fillId="0" borderId="98" xfId="11" applyNumberFormat="1" applyFont="1" applyFill="1" applyBorder="1" applyAlignment="1">
      <alignment horizontal="center" vertical="center" wrapText="1"/>
    </xf>
    <xf numFmtId="3" fontId="11" fillId="2" borderId="47" xfId="11" applyNumberFormat="1" applyFont="1" applyFill="1" applyBorder="1" applyAlignment="1" applyProtection="1">
      <alignment horizontal="right" vertical="center" wrapText="1"/>
      <protection locked="0"/>
    </xf>
    <xf numFmtId="3" fontId="11" fillId="2" borderId="41" xfId="11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11" applyNumberFormat="1" applyFont="1" applyFill="1" applyAlignment="1">
      <alignment horizontal="left" vertical="center" wrapText="1"/>
    </xf>
    <xf numFmtId="3" fontId="9" fillId="0" borderId="0" xfId="11" applyNumberFormat="1" applyFont="1" applyFill="1" applyAlignment="1">
      <alignment horizontal="right" vertical="center" wrapText="1"/>
    </xf>
    <xf numFmtId="49" fontId="12" fillId="0" borderId="97" xfId="11" applyNumberFormat="1" applyFont="1" applyFill="1" applyBorder="1" applyAlignment="1">
      <alignment horizontal="left" vertical="center" wrapText="1"/>
    </xf>
    <xf numFmtId="49" fontId="12" fillId="0" borderId="101" xfId="11" applyNumberFormat="1" applyFont="1" applyFill="1" applyBorder="1" applyAlignment="1">
      <alignment horizontal="left" vertical="center" wrapText="1"/>
    </xf>
    <xf numFmtId="49" fontId="11" fillId="0" borderId="12" xfId="11" applyNumberFormat="1" applyFont="1" applyFill="1" applyBorder="1" applyAlignment="1">
      <alignment horizontal="left" vertical="center" wrapText="1"/>
    </xf>
    <xf numFmtId="168" fontId="11" fillId="0" borderId="47" xfId="11" applyNumberFormat="1" applyFont="1" applyFill="1" applyBorder="1" applyAlignment="1">
      <alignment horizontal="center" vertical="center" wrapText="1"/>
    </xf>
    <xf numFmtId="168" fontId="11" fillId="2" borderId="47" xfId="11" applyNumberFormat="1" applyFont="1" applyFill="1" applyBorder="1" applyAlignment="1">
      <alignment horizontal="center" vertical="center" wrapText="1"/>
    </xf>
    <xf numFmtId="168" fontId="7" fillId="0" borderId="0" xfId="11" applyNumberFormat="1" applyFont="1" applyFill="1" applyAlignment="1">
      <alignment horizontal="center" vertical="center" wrapText="1"/>
    </xf>
    <xf numFmtId="168" fontId="12" fillId="0" borderId="0" xfId="11" applyNumberFormat="1" applyFont="1" applyFill="1" applyAlignment="1">
      <alignment horizontal="center" vertical="center" wrapText="1"/>
    </xf>
    <xf numFmtId="168" fontId="12" fillId="0" borderId="49" xfId="11" applyNumberFormat="1" applyFont="1" applyFill="1" applyBorder="1" applyAlignment="1">
      <alignment horizontal="center" vertical="center" wrapText="1"/>
    </xf>
    <xf numFmtId="168" fontId="12" fillId="0" borderId="55" xfId="11" applyNumberFormat="1" applyFont="1" applyFill="1" applyBorder="1" applyAlignment="1">
      <alignment horizontal="center" vertical="center" wrapText="1"/>
    </xf>
    <xf numFmtId="168" fontId="12" fillId="0" borderId="57" xfId="11" applyNumberFormat="1" applyFont="1" applyFill="1" applyBorder="1" applyAlignment="1">
      <alignment horizontal="center" vertical="center" wrapText="1"/>
    </xf>
    <xf numFmtId="3" fontId="11" fillId="0" borderId="0" xfId="11" applyNumberFormat="1" applyFont="1"/>
    <xf numFmtId="3" fontId="12" fillId="0" borderId="0" xfId="11" applyNumberFormat="1" applyFont="1" applyAlignment="1">
      <alignment horizontal="center"/>
    </xf>
    <xf numFmtId="3" fontId="11" fillId="0" borderId="34" xfId="11" applyNumberFormat="1" applyFont="1" applyBorder="1" applyAlignment="1">
      <alignment horizontal="center" vertical="center" wrapText="1"/>
    </xf>
    <xf numFmtId="3" fontId="11" fillId="0" borderId="0" xfId="11" applyNumberFormat="1" applyFont="1" applyAlignment="1">
      <alignment vertical="center"/>
    </xf>
    <xf numFmtId="3" fontId="12" fillId="0" borderId="95" xfId="11" applyNumberFormat="1" applyFont="1" applyBorder="1" applyAlignment="1">
      <alignment horizontal="left" indent="1"/>
    </xf>
    <xf numFmtId="3" fontId="12" fillId="0" borderId="6" xfId="11" applyNumberFormat="1" applyFont="1" applyBorder="1"/>
    <xf numFmtId="3" fontId="11" fillId="0" borderId="6" xfId="11" applyNumberFormat="1" applyFont="1" applyBorder="1"/>
    <xf numFmtId="3" fontId="11" fillId="0" borderId="30" xfId="11" applyNumberFormat="1" applyFont="1" applyBorder="1"/>
    <xf numFmtId="3" fontId="12" fillId="0" borderId="94" xfId="11" applyNumberFormat="1" applyFont="1" applyBorder="1" applyAlignment="1">
      <alignment horizontal="left" indent="1"/>
    </xf>
    <xf numFmtId="3" fontId="12" fillId="0" borderId="20" xfId="11" applyNumberFormat="1" applyFont="1" applyBorder="1"/>
    <xf numFmtId="3" fontId="11" fillId="0" borderId="20" xfId="11" applyNumberFormat="1" applyFont="1" applyBorder="1"/>
    <xf numFmtId="3" fontId="11" fillId="0" borderId="22" xfId="11" applyNumberFormat="1" applyFont="1" applyBorder="1"/>
    <xf numFmtId="3" fontId="12" fillId="0" borderId="88" xfId="11" applyNumberFormat="1" applyFont="1" applyBorder="1" applyAlignment="1">
      <alignment horizontal="left" indent="1"/>
    </xf>
    <xf numFmtId="3" fontId="12" fillId="0" borderId="4" xfId="11" applyNumberFormat="1" applyFont="1" applyBorder="1"/>
    <xf numFmtId="3" fontId="11" fillId="0" borderId="11" xfId="11" applyNumberFormat="1" applyFont="1" applyBorder="1" applyAlignment="1">
      <alignment horizontal="center"/>
    </xf>
    <xf numFmtId="3" fontId="11" fillId="0" borderId="12" xfId="11" applyNumberFormat="1" applyFont="1" applyBorder="1"/>
    <xf numFmtId="3" fontId="11" fillId="0" borderId="13" xfId="11" applyNumberFormat="1" applyFont="1" applyBorder="1"/>
    <xf numFmtId="3" fontId="11" fillId="0" borderId="10" xfId="11" applyNumberFormat="1" applyFont="1" applyBorder="1"/>
    <xf numFmtId="3" fontId="11" fillId="0" borderId="9" xfId="11" applyNumberFormat="1" applyFont="1" applyBorder="1"/>
    <xf numFmtId="3" fontId="11" fillId="0" borderId="34" xfId="11" applyNumberFormat="1" applyFont="1" applyBorder="1"/>
    <xf numFmtId="3" fontId="11" fillId="0" borderId="58" xfId="11" applyNumberFormat="1" applyFont="1" applyBorder="1"/>
    <xf numFmtId="3" fontId="12" fillId="0" borderId="97" xfId="11" applyNumberFormat="1" applyFont="1" applyBorder="1" applyAlignment="1">
      <alignment horizontal="left" indent="1"/>
    </xf>
    <xf numFmtId="3" fontId="12" fillId="0" borderId="1" xfId="11" applyNumberFormat="1" applyFont="1" applyBorder="1"/>
    <xf numFmtId="3" fontId="11" fillId="2" borderId="11" xfId="11" applyNumberFormat="1" applyFont="1" applyFill="1" applyBorder="1" applyAlignment="1">
      <alignment horizontal="center"/>
    </xf>
    <xf numFmtId="3" fontId="11" fillId="2" borderId="12" xfId="11" applyNumberFormat="1" applyFont="1" applyFill="1" applyBorder="1"/>
    <xf numFmtId="3" fontId="11" fillId="2" borderId="13" xfId="11" applyNumberFormat="1" applyFont="1" applyFill="1" applyBorder="1"/>
    <xf numFmtId="3" fontId="11" fillId="2" borderId="10" xfId="11" applyNumberFormat="1" applyFont="1" applyFill="1" applyBorder="1"/>
    <xf numFmtId="3" fontId="11" fillId="2" borderId="58" xfId="11" applyNumberFormat="1" applyFont="1" applyFill="1" applyBorder="1"/>
    <xf numFmtId="3" fontId="11" fillId="2" borderId="34" xfId="11" applyNumberFormat="1" applyFont="1" applyFill="1" applyBorder="1"/>
    <xf numFmtId="3" fontId="11" fillId="0" borderId="1" xfId="11" applyNumberFormat="1" applyFont="1" applyFill="1" applyBorder="1"/>
    <xf numFmtId="3" fontId="11" fillId="0" borderId="31" xfId="11" applyNumberFormat="1" applyFont="1" applyFill="1" applyBorder="1"/>
    <xf numFmtId="3" fontId="11" fillId="0" borderId="3" xfId="11" applyNumberFormat="1" applyFont="1" applyFill="1" applyBorder="1"/>
    <xf numFmtId="3" fontId="11" fillId="0" borderId="46" xfId="11" applyNumberFormat="1" applyFont="1" applyFill="1" applyBorder="1"/>
    <xf numFmtId="0" fontId="12" fillId="0" borderId="18" xfId="11" applyFont="1" applyFill="1" applyBorder="1" applyAlignment="1">
      <alignment horizontal="left" indent="1"/>
    </xf>
    <xf numFmtId="3" fontId="11" fillId="0" borderId="11" xfId="11" applyNumberFormat="1" applyFont="1" applyFill="1" applyBorder="1" applyAlignment="1">
      <alignment horizontal="center"/>
    </xf>
    <xf numFmtId="3" fontId="11" fillId="0" borderId="12" xfId="11" applyNumberFormat="1" applyFont="1" applyFill="1" applyBorder="1"/>
    <xf numFmtId="3" fontId="11" fillId="0" borderId="13" xfId="11" applyNumberFormat="1" applyFont="1" applyFill="1" applyBorder="1"/>
    <xf numFmtId="3" fontId="11" fillId="0" borderId="10" xfId="11" applyNumberFormat="1" applyFont="1" applyFill="1" applyBorder="1"/>
    <xf numFmtId="3" fontId="11" fillId="0" borderId="58" xfId="11" applyNumberFormat="1" applyFont="1" applyFill="1" applyBorder="1"/>
    <xf numFmtId="3" fontId="11" fillId="0" borderId="34" xfId="11" applyNumberFormat="1" applyFont="1" applyFill="1" applyBorder="1"/>
    <xf numFmtId="0" fontId="11" fillId="0" borderId="97" xfId="11" applyFont="1" applyFill="1" applyBorder="1" applyAlignment="1">
      <alignment horizontal="justify"/>
    </xf>
    <xf numFmtId="3" fontId="11" fillId="0" borderId="27" xfId="11" applyNumberFormat="1" applyFont="1" applyFill="1" applyBorder="1"/>
    <xf numFmtId="3" fontId="11" fillId="2" borderId="27" xfId="11" applyNumberFormat="1" applyFont="1" applyFill="1" applyBorder="1"/>
    <xf numFmtId="3" fontId="11" fillId="2" borderId="35" xfId="11" applyNumberFormat="1" applyFont="1" applyFill="1" applyBorder="1"/>
    <xf numFmtId="3" fontId="11" fillId="0" borderId="0" xfId="11" applyNumberFormat="1" applyFont="1" applyBorder="1"/>
    <xf numFmtId="3" fontId="11" fillId="2" borderId="88" xfId="11" applyNumberFormat="1" applyFont="1" applyFill="1" applyBorder="1" applyAlignment="1">
      <alignment horizontal="left"/>
    </xf>
    <xf numFmtId="3" fontId="11" fillId="2" borderId="4" xfId="11" applyNumberFormat="1" applyFont="1" applyFill="1" applyBorder="1"/>
    <xf numFmtId="3" fontId="11" fillId="2" borderId="24" xfId="11" applyNumberFormat="1" applyFont="1" applyFill="1" applyBorder="1"/>
    <xf numFmtId="3" fontId="11" fillId="0" borderId="30" xfId="1" applyNumberFormat="1" applyFont="1" applyBorder="1"/>
    <xf numFmtId="3" fontId="11" fillId="0" borderId="22" xfId="1" applyNumberFormat="1" applyFont="1" applyBorder="1"/>
    <xf numFmtId="3" fontId="11" fillId="0" borderId="24" xfId="1" applyNumberFormat="1" applyFont="1" applyBorder="1"/>
    <xf numFmtId="3" fontId="11" fillId="0" borderId="46" xfId="1" applyNumberFormat="1" applyFont="1" applyBorder="1"/>
    <xf numFmtId="3" fontId="11" fillId="2" borderId="24" xfId="1" applyNumberFormat="1" applyFont="1" applyFill="1" applyBorder="1"/>
    <xf numFmtId="3" fontId="11" fillId="2" borderId="63" xfId="11" applyNumberFormat="1" applyFont="1" applyFill="1" applyBorder="1" applyAlignment="1">
      <alignment horizontal="center"/>
    </xf>
    <xf numFmtId="3" fontId="11" fillId="0" borderId="0" xfId="11" applyNumberFormat="1" applyFont="1" applyAlignment="1">
      <alignment horizontal="center"/>
    </xf>
    <xf numFmtId="0" fontId="7" fillId="0" borderId="0" xfId="11" applyFont="1" applyFill="1" applyAlignment="1">
      <alignment horizontal="center" vertical="center"/>
    </xf>
    <xf numFmtId="0" fontId="7" fillId="0" borderId="0" xfId="11" applyFont="1" applyFill="1"/>
    <xf numFmtId="0" fontId="7" fillId="0" borderId="0" xfId="0" applyFont="1" applyFill="1"/>
    <xf numFmtId="0" fontId="12" fillId="0" borderId="0" xfId="11" applyFont="1" applyFill="1" applyAlignment="1">
      <alignment horizontal="center" vertical="center"/>
    </xf>
    <xf numFmtId="0" fontId="21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Fill="1"/>
    <xf numFmtId="3" fontId="4" fillId="0" borderId="0" xfId="11" applyNumberFormat="1" applyFont="1" applyFill="1" applyProtection="1">
      <protection locked="0"/>
    </xf>
    <xf numFmtId="3" fontId="4" fillId="0" borderId="0" xfId="11" applyNumberFormat="1" applyFont="1" applyFill="1"/>
    <xf numFmtId="3" fontId="6" fillId="0" borderId="0" xfId="11" applyNumberFormat="1" applyFill="1"/>
    <xf numFmtId="3" fontId="3" fillId="0" borderId="0" xfId="11" applyNumberFormat="1" applyFont="1" applyFill="1" applyProtection="1"/>
    <xf numFmtId="3" fontId="4" fillId="0" borderId="0" xfId="11" applyNumberFormat="1" applyFont="1" applyFill="1" applyProtection="1"/>
    <xf numFmtId="3" fontId="6" fillId="0" borderId="0" xfId="11" applyNumberFormat="1" applyFill="1" applyProtection="1">
      <protection locked="0"/>
    </xf>
    <xf numFmtId="3" fontId="27" fillId="0" borderId="0" xfId="11" applyNumberFormat="1" applyFont="1" applyFill="1"/>
    <xf numFmtId="3" fontId="28" fillId="0" borderId="0" xfId="11" applyNumberFormat="1" applyFont="1" applyFill="1"/>
    <xf numFmtId="3" fontId="29" fillId="0" borderId="11" xfId="11" applyNumberFormat="1" applyFont="1" applyFill="1" applyBorder="1" applyAlignment="1">
      <alignment horizontal="center" vertical="center" wrapText="1"/>
    </xf>
    <xf numFmtId="3" fontId="29" fillId="0" borderId="10" xfId="11" applyNumberFormat="1" applyFont="1" applyFill="1" applyBorder="1" applyAlignment="1">
      <alignment horizontal="center" vertical="center" wrapText="1"/>
    </xf>
    <xf numFmtId="3" fontId="29" fillId="0" borderId="9" xfId="11" applyNumberFormat="1" applyFont="1" applyFill="1" applyBorder="1" applyAlignment="1">
      <alignment horizontal="center" vertical="center" wrapText="1"/>
    </xf>
    <xf numFmtId="3" fontId="30" fillId="0" borderId="0" xfId="11" applyNumberFormat="1" applyFont="1" applyFill="1" applyAlignment="1">
      <alignment horizontal="center" vertical="center" wrapText="1"/>
    </xf>
    <xf numFmtId="3" fontId="8" fillId="0" borderId="60" xfId="11" applyNumberFormat="1" applyFont="1" applyFill="1" applyBorder="1" applyAlignment="1">
      <alignment horizontal="center" vertical="center"/>
    </xf>
    <xf numFmtId="3" fontId="8" fillId="0" borderId="16" xfId="11" applyNumberFormat="1" applyFont="1" applyFill="1" applyBorder="1" applyAlignment="1">
      <alignment vertical="center" wrapText="1"/>
    </xf>
    <xf numFmtId="3" fontId="8" fillId="0" borderId="16" xfId="11" applyNumberFormat="1" applyFont="1" applyFill="1" applyBorder="1" applyAlignment="1" applyProtection="1">
      <alignment vertical="center"/>
      <protection locked="0"/>
    </xf>
    <xf numFmtId="3" fontId="31" fillId="0" borderId="17" xfId="11" applyNumberFormat="1" applyFont="1" applyFill="1" applyBorder="1" applyAlignment="1">
      <alignment vertical="center"/>
    </xf>
    <xf numFmtId="3" fontId="8" fillId="0" borderId="62" xfId="11" applyNumberFormat="1" applyFont="1" applyFill="1" applyBorder="1" applyAlignment="1">
      <alignment horizontal="center" vertical="center"/>
    </xf>
    <xf numFmtId="3" fontId="8" fillId="0" borderId="2" xfId="11" applyNumberFormat="1" applyFont="1" applyFill="1" applyBorder="1" applyAlignment="1">
      <alignment vertical="center" wrapText="1"/>
    </xf>
    <xf numFmtId="3" fontId="8" fillId="0" borderId="2" xfId="11" applyNumberFormat="1" applyFont="1" applyFill="1" applyBorder="1" applyAlignment="1" applyProtection="1">
      <alignment vertical="center"/>
      <protection locked="0"/>
    </xf>
    <xf numFmtId="3" fontId="31" fillId="0" borderId="18" xfId="11" applyNumberFormat="1" applyFont="1" applyFill="1" applyBorder="1" applyAlignment="1">
      <alignment vertical="center"/>
    </xf>
    <xf numFmtId="3" fontId="8" fillId="0" borderId="63" xfId="11" applyNumberFormat="1" applyFont="1" applyFill="1" applyBorder="1" applyAlignment="1">
      <alignment horizontal="center" vertical="center"/>
    </xf>
    <xf numFmtId="3" fontId="8" fillId="0" borderId="25" xfId="11" applyNumberFormat="1" applyFont="1" applyFill="1" applyBorder="1" applyAlignment="1">
      <alignment vertical="center" wrapText="1"/>
    </xf>
    <xf numFmtId="3" fontId="8" fillId="0" borderId="25" xfId="11" applyNumberFormat="1" applyFont="1" applyFill="1" applyBorder="1" applyAlignment="1" applyProtection="1">
      <alignment vertical="center"/>
      <protection locked="0"/>
    </xf>
    <xf numFmtId="3" fontId="31" fillId="0" borderId="26" xfId="11" applyNumberFormat="1" applyFont="1" applyFill="1" applyBorder="1" applyAlignment="1">
      <alignment vertical="center"/>
    </xf>
    <xf numFmtId="3" fontId="31" fillId="0" borderId="11" xfId="11" applyNumberFormat="1" applyFont="1" applyFill="1" applyBorder="1" applyAlignment="1">
      <alignment horizontal="center" vertical="center"/>
    </xf>
    <xf numFmtId="3" fontId="31" fillId="0" borderId="10" xfId="11" applyNumberFormat="1" applyFont="1" applyFill="1" applyBorder="1" applyAlignment="1">
      <alignment vertical="center"/>
    </xf>
    <xf numFmtId="3" fontId="31" fillId="0" borderId="9" xfId="11" applyNumberFormat="1" applyFont="1" applyFill="1" applyBorder="1" applyAlignment="1">
      <alignment vertical="center"/>
    </xf>
    <xf numFmtId="3" fontId="30" fillId="0" borderId="0" xfId="11" applyNumberFormat="1" applyFont="1" applyFill="1"/>
    <xf numFmtId="3" fontId="6" fillId="0" borderId="0" xfId="11" applyNumberFormat="1" applyFill="1" applyAlignment="1">
      <alignment horizontal="center"/>
    </xf>
    <xf numFmtId="3" fontId="6" fillId="0" borderId="102" xfId="11" applyNumberFormat="1" applyFill="1" applyBorder="1" applyAlignment="1"/>
    <xf numFmtId="3" fontId="32" fillId="0" borderId="102" xfId="11" applyNumberFormat="1" applyFont="1" applyFill="1" applyBorder="1" applyAlignment="1"/>
    <xf numFmtId="3" fontId="6" fillId="0" borderId="0" xfId="11" applyNumberFormat="1" applyFill="1" applyBorder="1"/>
    <xf numFmtId="3" fontId="32" fillId="0" borderId="0" xfId="11" applyNumberFormat="1" applyFont="1" applyFill="1" applyBorder="1" applyAlignment="1">
      <alignment horizontal="center"/>
    </xf>
    <xf numFmtId="0" fontId="33" fillId="0" borderId="0" xfId="11" applyFont="1"/>
    <xf numFmtId="3" fontId="19" fillId="0" borderId="0" xfId="31" applyNumberFormat="1" applyFont="1" applyFill="1" applyAlignment="1">
      <alignment horizontal="right" vertical="top"/>
    </xf>
    <xf numFmtId="0" fontId="16" fillId="0" borderId="0" xfId="11" applyNumberFormat="1" applyFont="1" applyAlignment="1">
      <alignment vertical="top"/>
    </xf>
    <xf numFmtId="3" fontId="16" fillId="0" borderId="0" xfId="11" applyNumberFormat="1" applyFont="1" applyAlignment="1">
      <alignment vertical="top"/>
    </xf>
    <xf numFmtId="3" fontId="18" fillId="0" borderId="0" xfId="11" applyNumberFormat="1" applyFont="1" applyFill="1" applyAlignment="1">
      <alignment horizontal="right" vertical="top"/>
    </xf>
    <xf numFmtId="3" fontId="16" fillId="0" borderId="0" xfId="11" applyNumberFormat="1" applyFont="1" applyAlignment="1">
      <alignment vertical="top" wrapText="1"/>
    </xf>
    <xf numFmtId="0" fontId="15" fillId="0" borderId="0" xfId="11" applyNumberFormat="1" applyFont="1" applyAlignment="1">
      <alignment vertical="top"/>
    </xf>
    <xf numFmtId="0" fontId="19" fillId="0" borderId="0" xfId="11" applyNumberFormat="1" applyFont="1" applyAlignment="1">
      <alignment vertical="top"/>
    </xf>
    <xf numFmtId="49" fontId="19" fillId="0" borderId="0" xfId="11" applyNumberFormat="1" applyFont="1" applyAlignment="1">
      <alignment horizontal="center" vertical="top"/>
    </xf>
    <xf numFmtId="49" fontId="15" fillId="0" borderId="0" xfId="11" applyNumberFormat="1" applyFont="1" applyAlignment="1">
      <alignment horizontal="center" vertical="top"/>
    </xf>
    <xf numFmtId="49" fontId="16" fillId="0" borderId="0" xfId="11" applyNumberFormat="1" applyFont="1" applyAlignment="1">
      <alignment horizontal="center" vertical="top" wrapText="1"/>
    </xf>
    <xf numFmtId="49" fontId="16" fillId="0" borderId="0" xfId="11" applyNumberFormat="1" applyFont="1" applyAlignment="1">
      <alignment horizontal="center" vertical="top"/>
    </xf>
    <xf numFmtId="3" fontId="7" fillId="0" borderId="0" xfId="11" applyNumberFormat="1" applyFont="1" applyAlignment="1">
      <alignment horizontal="center"/>
    </xf>
    <xf numFmtId="3" fontId="7" fillId="0" borderId="0" xfId="11" applyNumberFormat="1" applyFont="1"/>
    <xf numFmtId="3" fontId="9" fillId="0" borderId="0" xfId="11" applyNumberFormat="1" applyFont="1"/>
    <xf numFmtId="0" fontId="35" fillId="0" borderId="0" xfId="32" applyFont="1" applyAlignment="1"/>
    <xf numFmtId="0" fontId="33" fillId="0" borderId="0" xfId="32" applyFont="1"/>
    <xf numFmtId="0" fontId="33" fillId="0" borderId="0" xfId="32" applyFont="1" applyAlignment="1">
      <alignment wrapText="1"/>
    </xf>
    <xf numFmtId="0" fontId="35" fillId="0" borderId="0" xfId="32" applyFont="1"/>
    <xf numFmtId="0" fontId="35" fillId="0" borderId="0" xfId="32" applyFont="1" applyAlignment="1">
      <alignment horizontal="left" vertical="top" wrapText="1"/>
    </xf>
    <xf numFmtId="0" fontId="35" fillId="0" borderId="0" xfId="32" applyFont="1" applyAlignment="1">
      <alignment wrapText="1"/>
    </xf>
    <xf numFmtId="0" fontId="33" fillId="0" borderId="0" xfId="32" applyFont="1" applyAlignment="1">
      <alignment horizontal="left" vertical="top" wrapText="1"/>
    </xf>
    <xf numFmtId="0" fontId="33" fillId="0" borderId="0" xfId="32" applyFont="1" applyAlignment="1"/>
    <xf numFmtId="0" fontId="33" fillId="0" borderId="0" xfId="32" applyFont="1" applyFill="1" applyAlignment="1">
      <alignment horizontal="left" vertical="top" wrapText="1"/>
    </xf>
    <xf numFmtId="0" fontId="33" fillId="0" borderId="0" xfId="30" applyFont="1" applyAlignment="1"/>
    <xf numFmtId="0" fontId="33" fillId="0" borderId="0" xfId="28" applyFont="1"/>
    <xf numFmtId="0" fontId="33" fillId="0" borderId="0" xfId="28" applyFont="1" applyAlignment="1">
      <alignment wrapText="1"/>
    </xf>
    <xf numFmtId="0" fontId="35" fillId="0" borderId="0" xfId="32" applyFont="1" applyFill="1" applyAlignment="1">
      <alignment horizontal="left" vertical="top" wrapText="1"/>
    </xf>
    <xf numFmtId="0" fontId="33" fillId="0" borderId="0" xfId="0" applyFont="1"/>
    <xf numFmtId="0" fontId="12" fillId="0" borderId="25" xfId="11" applyFont="1" applyBorder="1" applyAlignment="1">
      <alignment horizontal="center" wrapText="1"/>
    </xf>
    <xf numFmtId="0" fontId="12" fillId="0" borderId="26" xfId="11" applyFont="1" applyBorder="1" applyAlignment="1">
      <alignment horizontal="center"/>
    </xf>
    <xf numFmtId="0" fontId="12" fillId="0" borderId="80" xfId="11" applyFont="1" applyBorder="1" applyAlignment="1">
      <alignment wrapText="1"/>
    </xf>
    <xf numFmtId="3" fontId="12" fillId="0" borderId="80" xfId="11" applyNumberFormat="1" applyFont="1" applyBorder="1" applyAlignment="1">
      <alignment wrapText="1"/>
    </xf>
    <xf numFmtId="3" fontId="12" fillId="0" borderId="67" xfId="11" applyNumberFormat="1" applyFont="1" applyBorder="1" applyAlignment="1">
      <alignment wrapText="1"/>
    </xf>
    <xf numFmtId="0" fontId="12" fillId="0" borderId="81" xfId="11" applyFont="1" applyBorder="1" applyAlignment="1">
      <alignment wrapText="1"/>
    </xf>
    <xf numFmtId="0" fontId="11" fillId="0" borderId="65" xfId="11" applyFont="1" applyBorder="1" applyAlignment="1">
      <alignment wrapText="1"/>
    </xf>
    <xf numFmtId="3" fontId="11" fillId="0" borderId="65" xfId="11" applyNumberFormat="1" applyFont="1" applyBorder="1" applyAlignment="1">
      <alignment wrapText="1"/>
    </xf>
    <xf numFmtId="3" fontId="11" fillId="0" borderId="64" xfId="11" applyNumberFormat="1" applyFont="1" applyBorder="1" applyAlignment="1">
      <alignment wrapText="1"/>
    </xf>
    <xf numFmtId="3" fontId="12" fillId="0" borderId="81" xfId="11" applyNumberFormat="1" applyFont="1" applyBorder="1" applyAlignment="1">
      <alignment wrapText="1"/>
    </xf>
    <xf numFmtId="3" fontId="12" fillId="0" borderId="71" xfId="11" applyNumberFormat="1" applyFont="1" applyBorder="1" applyAlignment="1">
      <alignment wrapText="1"/>
    </xf>
    <xf numFmtId="0" fontId="12" fillId="0" borderId="82" xfId="11" applyFont="1" applyBorder="1" applyAlignment="1">
      <alignment wrapText="1"/>
    </xf>
    <xf numFmtId="3" fontId="12" fillId="0" borderId="75" xfId="11" applyNumberFormat="1" applyFont="1" applyBorder="1" applyAlignment="1">
      <alignment wrapText="1"/>
    </xf>
    <xf numFmtId="3" fontId="12" fillId="0" borderId="82" xfId="11" applyNumberFormat="1" applyFont="1" applyBorder="1" applyAlignment="1">
      <alignment wrapText="1"/>
    </xf>
    <xf numFmtId="0" fontId="11" fillId="0" borderId="83" xfId="11" applyFont="1" applyBorder="1" applyAlignment="1">
      <alignment wrapText="1"/>
    </xf>
    <xf numFmtId="3" fontId="11" fillId="0" borderId="83" xfId="11" applyNumberFormat="1" applyFont="1" applyBorder="1" applyAlignment="1">
      <alignment wrapText="1"/>
    </xf>
    <xf numFmtId="3" fontId="11" fillId="0" borderId="78" xfId="11" applyNumberFormat="1" applyFont="1" applyBorder="1" applyAlignment="1">
      <alignment wrapText="1"/>
    </xf>
    <xf numFmtId="0" fontId="11" fillId="0" borderId="0" xfId="11" applyFont="1" applyAlignment="1">
      <alignment horizontal="center" vertical="center" wrapText="1"/>
    </xf>
    <xf numFmtId="0" fontId="36" fillId="0" borderId="0" xfId="31" applyFont="1" applyFill="1"/>
    <xf numFmtId="0" fontId="11" fillId="0" borderId="0" xfId="31" applyFont="1" applyFill="1"/>
    <xf numFmtId="0" fontId="9" fillId="0" borderId="0" xfId="11" applyFont="1"/>
    <xf numFmtId="10" fontId="15" fillId="0" borderId="0" xfId="36" applyNumberFormat="1" applyFont="1"/>
    <xf numFmtId="0" fontId="37" fillId="0" borderId="98" xfId="11" applyFont="1" applyBorder="1" applyAlignment="1"/>
    <xf numFmtId="0" fontId="37" fillId="0" borderId="63" xfId="11" applyFont="1" applyBorder="1" applyAlignment="1"/>
    <xf numFmtId="3" fontId="37" fillId="0" borderId="26" xfId="11" applyNumberFormat="1" applyFont="1" applyBorder="1" applyAlignment="1"/>
    <xf numFmtId="0" fontId="38" fillId="0" borderId="11" xfId="11" applyFont="1" applyBorder="1" applyAlignment="1"/>
    <xf numFmtId="0" fontId="38" fillId="0" borderId="9" xfId="11" applyFont="1" applyBorder="1" applyAlignment="1"/>
    <xf numFmtId="0" fontId="37" fillId="0" borderId="60" xfId="11" applyFont="1" applyBorder="1" applyAlignment="1"/>
    <xf numFmtId="0" fontId="37" fillId="0" borderId="17" xfId="11" applyFont="1" applyBorder="1" applyAlignment="1"/>
    <xf numFmtId="0" fontId="37" fillId="0" borderId="62" xfId="11" applyFont="1" applyBorder="1" applyAlignment="1"/>
    <xf numFmtId="0" fontId="37" fillId="0" borderId="18" xfId="11" applyFont="1" applyBorder="1" applyAlignment="1"/>
    <xf numFmtId="0" fontId="37" fillId="0" borderId="26" xfId="11" applyFont="1" applyBorder="1" applyAlignment="1"/>
    <xf numFmtId="0" fontId="37" fillId="0" borderId="89" xfId="11" applyFont="1" applyBorder="1" applyAlignment="1"/>
    <xf numFmtId="0" fontId="37" fillId="0" borderId="36" xfId="11" applyFont="1" applyBorder="1" applyAlignment="1"/>
    <xf numFmtId="0" fontId="38" fillId="0" borderId="11" xfId="11" applyFont="1" applyFill="1" applyBorder="1" applyAlignment="1"/>
    <xf numFmtId="3" fontId="15" fillId="0" borderId="2" xfId="11" applyNumberFormat="1" applyFont="1" applyBorder="1" applyAlignment="1">
      <alignment vertical="top" wrapText="1"/>
    </xf>
    <xf numFmtId="0" fontId="39" fillId="0" borderId="0" xfId="11" applyNumberFormat="1" applyFont="1" applyAlignment="1">
      <alignment vertical="top"/>
    </xf>
    <xf numFmtId="3" fontId="15" fillId="2" borderId="2" xfId="1" applyNumberFormat="1" applyFont="1" applyFill="1" applyBorder="1" applyAlignment="1">
      <alignment horizontal="right" vertical="top" wrapText="1"/>
    </xf>
    <xf numFmtId="0" fontId="11" fillId="0" borderId="48" xfId="11" applyFont="1" applyFill="1" applyBorder="1" applyAlignment="1">
      <alignment horizontal="left"/>
    </xf>
    <xf numFmtId="164" fontId="11" fillId="0" borderId="48" xfId="11" applyNumberFormat="1" applyFont="1" applyFill="1" applyBorder="1" applyAlignment="1"/>
    <xf numFmtId="164" fontId="11" fillId="0" borderId="21" xfId="11" applyNumberFormat="1" applyFont="1" applyFill="1" applyBorder="1" applyAlignment="1"/>
    <xf numFmtId="164" fontId="12" fillId="0" borderId="0" xfId="0" applyNumberFormat="1" applyFont="1" applyFill="1"/>
    <xf numFmtId="166" fontId="12" fillId="0" borderId="0" xfId="0" applyNumberFormat="1" applyFont="1" applyFill="1"/>
    <xf numFmtId="0" fontId="11" fillId="0" borderId="49" xfId="11" applyFont="1" applyFill="1" applyBorder="1" applyAlignment="1">
      <alignment horizontal="left"/>
    </xf>
    <xf numFmtId="3" fontId="12" fillId="0" borderId="94" xfId="11" applyNumberFormat="1" applyFont="1" applyFill="1" applyBorder="1" applyAlignment="1" applyProtection="1">
      <alignment vertical="center" wrapText="1"/>
      <protection locked="0"/>
    </xf>
    <xf numFmtId="49" fontId="12" fillId="0" borderId="89" xfId="11" applyNumberFormat="1" applyFont="1" applyFill="1" applyBorder="1" applyAlignment="1">
      <alignment horizontal="center" vertical="center" wrapText="1"/>
    </xf>
    <xf numFmtId="3" fontId="12" fillId="0" borderId="37" xfId="11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37" xfId="11" applyNumberFormat="1" applyFont="1" applyFill="1" applyBorder="1" applyAlignment="1" applyProtection="1">
      <alignment vertical="center" wrapText="1"/>
      <protection locked="0"/>
    </xf>
    <xf numFmtId="3" fontId="12" fillId="0" borderId="36" xfId="11" applyNumberFormat="1" applyFont="1" applyFill="1" applyBorder="1" applyAlignment="1" applyProtection="1">
      <alignment vertical="center" wrapText="1"/>
      <protection locked="0"/>
    </xf>
    <xf numFmtId="3" fontId="17" fillId="0" borderId="20" xfId="0" applyNumberFormat="1" applyFont="1" applyFill="1" applyBorder="1"/>
    <xf numFmtId="3" fontId="17" fillId="0" borderId="2" xfId="0" applyNumberFormat="1" applyFont="1" applyFill="1" applyBorder="1"/>
    <xf numFmtId="3" fontId="17" fillId="0" borderId="18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37" fillId="0" borderId="89" xfId="11" applyFont="1" applyBorder="1" applyAlignment="1">
      <alignment horizontal="center"/>
    </xf>
    <xf numFmtId="0" fontId="37" fillId="0" borderId="36" xfId="11" applyFont="1" applyBorder="1" applyAlignment="1">
      <alignment horizontal="center"/>
    </xf>
    <xf numFmtId="9" fontId="37" fillId="0" borderId="89" xfId="11" applyNumberFormat="1" applyFont="1" applyBorder="1" applyAlignment="1">
      <alignment horizontal="center"/>
    </xf>
    <xf numFmtId="9" fontId="37" fillId="0" borderId="36" xfId="11" applyNumberFormat="1" applyFont="1" applyBorder="1" applyAlignment="1">
      <alignment horizontal="center"/>
    </xf>
    <xf numFmtId="0" fontId="37" fillId="0" borderId="32" xfId="11" applyFont="1" applyBorder="1" applyAlignment="1"/>
    <xf numFmtId="0" fontId="38" fillId="0" borderId="9" xfId="11" applyFont="1" applyFill="1" applyBorder="1" applyAlignment="1"/>
    <xf numFmtId="3" fontId="12" fillId="0" borderId="24" xfId="11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90" xfId="11" applyNumberFormat="1" applyFont="1" applyBorder="1" applyAlignment="1">
      <alignment horizontal="left" indent="1"/>
    </xf>
    <xf numFmtId="3" fontId="11" fillId="0" borderId="21" xfId="1" applyNumberFormat="1" applyFont="1" applyBorder="1"/>
    <xf numFmtId="3" fontId="11" fillId="0" borderId="40" xfId="11" applyNumberFormat="1" applyFont="1" applyBorder="1"/>
    <xf numFmtId="3" fontId="11" fillId="0" borderId="21" xfId="11" applyNumberFormat="1" applyFont="1" applyBorder="1"/>
    <xf numFmtId="3" fontId="16" fillId="0" borderId="0" xfId="0" applyNumberFormat="1" applyFont="1" applyFill="1" applyBorder="1"/>
    <xf numFmtId="165" fontId="11" fillId="0" borderId="47" xfId="11" applyNumberFormat="1" applyFont="1" applyFill="1" applyBorder="1" applyAlignment="1">
      <alignment horizontal="center" vertical="center" wrapText="1"/>
    </xf>
    <xf numFmtId="165" fontId="11" fillId="0" borderId="92" xfId="11" applyNumberFormat="1" applyFont="1" applyFill="1" applyBorder="1" applyAlignment="1" applyProtection="1">
      <alignment horizontal="center" vertical="center" wrapText="1"/>
    </xf>
    <xf numFmtId="165" fontId="11" fillId="0" borderId="57" xfId="11" applyNumberFormat="1" applyFont="1" applyFill="1" applyBorder="1" applyAlignment="1" applyProtection="1">
      <alignment vertical="center" wrapText="1"/>
    </xf>
    <xf numFmtId="165" fontId="12" fillId="0" borderId="49" xfId="11" applyNumberFormat="1" applyFont="1" applyFill="1" applyBorder="1" applyAlignment="1" applyProtection="1">
      <alignment vertical="center" wrapText="1"/>
      <protection locked="0"/>
    </xf>
    <xf numFmtId="165" fontId="11" fillId="0" borderId="47" xfId="11" applyNumberFormat="1" applyFont="1" applyFill="1" applyBorder="1" applyAlignment="1" applyProtection="1">
      <alignment vertical="center" wrapText="1"/>
      <protection locked="0"/>
    </xf>
    <xf numFmtId="165" fontId="11" fillId="0" borderId="55" xfId="11" applyNumberFormat="1" applyFont="1" applyFill="1" applyBorder="1" applyAlignment="1" applyProtection="1">
      <alignment vertical="center" wrapText="1"/>
      <protection locked="0"/>
    </xf>
    <xf numFmtId="165" fontId="10" fillId="0" borderId="92" xfId="11" applyNumberFormat="1" applyFont="1" applyFill="1" applyBorder="1" applyAlignment="1" applyProtection="1">
      <alignment vertical="center" wrapText="1"/>
      <protection locked="0"/>
    </xf>
    <xf numFmtId="165" fontId="11" fillId="0" borderId="92" xfId="11" applyNumberFormat="1" applyFont="1" applyFill="1" applyBorder="1" applyAlignment="1">
      <alignment vertical="center" wrapText="1"/>
    </xf>
    <xf numFmtId="165" fontId="11" fillId="0" borderId="1" xfId="11" applyNumberFormat="1" applyFont="1" applyFill="1" applyBorder="1" applyAlignment="1" applyProtection="1">
      <alignment horizontal="center" vertical="center" wrapText="1"/>
    </xf>
    <xf numFmtId="14" fontId="12" fillId="0" borderId="20" xfId="11" applyNumberFormat="1" applyFont="1" applyFill="1" applyBorder="1" applyAlignment="1" applyProtection="1">
      <alignment horizontal="center" vertical="center" wrapText="1"/>
      <protection locked="0"/>
    </xf>
    <xf numFmtId="165" fontId="11" fillId="4" borderId="13" xfId="11" applyNumberFormat="1" applyFont="1" applyFill="1" applyBorder="1" applyAlignment="1" applyProtection="1">
      <alignment horizontal="center" vertical="center" wrapText="1"/>
    </xf>
    <xf numFmtId="14" fontId="12" fillId="0" borderId="6" xfId="11" applyNumberFormat="1" applyFont="1" applyFill="1" applyBorder="1" applyAlignment="1" applyProtection="1">
      <alignment horizontal="center" vertical="center" wrapText="1"/>
      <protection locked="0"/>
    </xf>
    <xf numFmtId="14" fontId="10" fillId="0" borderId="27" xfId="11" applyNumberFormat="1" applyFont="1" applyFill="1" applyBorder="1" applyAlignment="1" applyProtection="1">
      <alignment horizontal="center" vertical="center" wrapText="1"/>
      <protection locked="0"/>
    </xf>
    <xf numFmtId="165" fontId="11" fillId="0" borderId="34" xfId="11" applyNumberFormat="1" applyFont="1" applyFill="1" applyBorder="1" applyAlignment="1">
      <alignment horizontal="center" vertical="center" wrapText="1"/>
    </xf>
    <xf numFmtId="165" fontId="11" fillId="0" borderId="35" xfId="11" applyNumberFormat="1" applyFont="1" applyFill="1" applyBorder="1" applyAlignment="1" applyProtection="1">
      <alignment horizontal="center" vertical="center" wrapText="1"/>
    </xf>
    <xf numFmtId="165" fontId="11" fillId="0" borderId="48" xfId="11" applyNumberFormat="1" applyFont="1" applyFill="1" applyBorder="1" applyAlignment="1" applyProtection="1">
      <alignment vertical="center" wrapText="1"/>
    </xf>
    <xf numFmtId="165" fontId="11" fillId="0" borderId="40" xfId="11" applyNumberFormat="1" applyFont="1" applyFill="1" applyBorder="1" applyAlignment="1" applyProtection="1">
      <alignment horizontal="center" vertical="center" wrapText="1"/>
    </xf>
    <xf numFmtId="165" fontId="12" fillId="0" borderId="34" xfId="11" applyNumberFormat="1" applyFont="1" applyFill="1" applyBorder="1" applyAlignment="1">
      <alignment vertical="center" wrapText="1"/>
    </xf>
    <xf numFmtId="49" fontId="15" fillId="0" borderId="0" xfId="11" applyNumberFormat="1" applyFont="1" applyAlignment="1">
      <alignment horizontal="center" vertical="top" wrapText="1"/>
    </xf>
    <xf numFmtId="0" fontId="15" fillId="0" borderId="0" xfId="11" applyNumberFormat="1" applyFont="1" applyAlignment="1">
      <alignment vertical="top" wrapText="1"/>
    </xf>
    <xf numFmtId="3" fontId="15" fillId="0" borderId="0" xfId="11" applyNumberFormat="1" applyFont="1" applyBorder="1" applyAlignment="1">
      <alignment vertical="top" wrapText="1"/>
    </xf>
    <xf numFmtId="3" fontId="15" fillId="2" borderId="34" xfId="11" applyNumberFormat="1" applyFont="1" applyFill="1" applyBorder="1" applyAlignment="1">
      <alignment vertical="top" wrapText="1"/>
    </xf>
    <xf numFmtId="3" fontId="15" fillId="0" borderId="0" xfId="11" applyNumberFormat="1" applyFont="1" applyFill="1" applyBorder="1" applyAlignment="1">
      <alignment vertical="top" wrapText="1"/>
    </xf>
    <xf numFmtId="3" fontId="11" fillId="0" borderId="0" xfId="33" applyNumberFormat="1" applyFont="1" applyFill="1" applyBorder="1" applyAlignment="1" applyProtection="1">
      <alignment horizontal="center" vertical="center"/>
    </xf>
    <xf numFmtId="3" fontId="11" fillId="0" borderId="0" xfId="33" applyNumberFormat="1" applyFont="1" applyFill="1" applyBorder="1" applyAlignment="1" applyProtection="1">
      <alignment vertical="center"/>
    </xf>
    <xf numFmtId="3" fontId="11" fillId="0" borderId="0" xfId="33" applyNumberFormat="1" applyFont="1" applyFill="1" applyBorder="1" applyAlignment="1" applyProtection="1"/>
    <xf numFmtId="3" fontId="8" fillId="0" borderId="0" xfId="33" applyNumberFormat="1" applyFont="1" applyFill="1" applyProtection="1">
      <protection locked="0"/>
    </xf>
    <xf numFmtId="3" fontId="8" fillId="0" borderId="0" xfId="33" applyNumberFormat="1" applyFont="1" applyFill="1" applyProtection="1"/>
    <xf numFmtId="3" fontId="8" fillId="0" borderId="0" xfId="33" applyNumberFormat="1" applyFont="1" applyFill="1" applyAlignment="1" applyProtection="1">
      <alignment vertical="center"/>
    </xf>
    <xf numFmtId="3" fontId="8" fillId="0" borderId="0" xfId="33" applyNumberFormat="1" applyFont="1" applyFill="1" applyAlignment="1" applyProtection="1">
      <alignment vertical="center"/>
      <protection locked="0"/>
    </xf>
    <xf numFmtId="3" fontId="11" fillId="0" borderId="23" xfId="33" applyNumberFormat="1" applyFont="1" applyFill="1" applyBorder="1" applyAlignment="1" applyProtection="1">
      <alignment vertical="center"/>
    </xf>
    <xf numFmtId="3" fontId="21" fillId="0" borderId="21" xfId="11" applyNumberFormat="1" applyFont="1" applyFill="1" applyBorder="1" applyAlignment="1" applyProtection="1">
      <alignment vertical="center" wrapText="1"/>
      <protection locked="0"/>
    </xf>
    <xf numFmtId="3" fontId="48" fillId="0" borderId="60" xfId="11" applyNumberFormat="1" applyFont="1" applyFill="1" applyBorder="1" applyAlignment="1">
      <alignment vertical="center" wrapText="1"/>
    </xf>
    <xf numFmtId="3" fontId="48" fillId="0" borderId="16" xfId="11" applyNumberFormat="1" applyFont="1" applyFill="1" applyBorder="1" applyAlignment="1">
      <alignment vertical="center" wrapText="1"/>
    </xf>
    <xf numFmtId="3" fontId="48" fillId="0" borderId="17" xfId="11" applyNumberFormat="1" applyFont="1" applyFill="1" applyBorder="1" applyAlignment="1">
      <alignment vertical="center" wrapText="1"/>
    </xf>
    <xf numFmtId="3" fontId="48" fillId="0" borderId="2" xfId="11" applyNumberFormat="1" applyFont="1" applyFill="1" applyBorder="1" applyAlignment="1">
      <alignment vertical="center" wrapText="1"/>
    </xf>
    <xf numFmtId="3" fontId="48" fillId="0" borderId="18" xfId="11" applyNumberFormat="1" applyFont="1" applyFill="1" applyBorder="1" applyAlignment="1">
      <alignment vertical="center" wrapText="1"/>
    </xf>
    <xf numFmtId="3" fontId="48" fillId="0" borderId="25" xfId="11" applyNumberFormat="1" applyFont="1" applyFill="1" applyBorder="1" applyAlignment="1">
      <alignment vertical="center" wrapText="1"/>
    </xf>
    <xf numFmtId="3" fontId="48" fillId="0" borderId="26" xfId="11" applyNumberFormat="1" applyFont="1" applyFill="1" applyBorder="1" applyAlignment="1">
      <alignment vertical="center" wrapText="1"/>
    </xf>
    <xf numFmtId="3" fontId="48" fillId="0" borderId="62" xfId="11" applyNumberFormat="1" applyFont="1" applyFill="1" applyBorder="1" applyAlignment="1">
      <alignment vertical="center" wrapText="1"/>
    </xf>
    <xf numFmtId="3" fontId="48" fillId="0" borderId="63" xfId="11" applyNumberFormat="1" applyFont="1" applyFill="1" applyBorder="1" applyAlignment="1">
      <alignment vertical="center" wrapText="1"/>
    </xf>
    <xf numFmtId="3" fontId="48" fillId="0" borderId="61" xfId="11" applyNumberFormat="1" applyFont="1" applyFill="1" applyBorder="1" applyAlignment="1">
      <alignment vertical="center" wrapText="1"/>
    </xf>
    <xf numFmtId="3" fontId="48" fillId="0" borderId="38" xfId="11" applyNumberFormat="1" applyFont="1" applyFill="1" applyBorder="1" applyAlignment="1">
      <alignment vertical="center" wrapText="1"/>
    </xf>
    <xf numFmtId="3" fontId="48" fillId="0" borderId="39" xfId="11" applyNumberFormat="1" applyFont="1" applyFill="1" applyBorder="1" applyAlignment="1">
      <alignment vertical="center" wrapText="1"/>
    </xf>
    <xf numFmtId="3" fontId="48" fillId="0" borderId="55" xfId="11" applyNumberFormat="1" applyFont="1" applyFill="1" applyBorder="1" applyAlignment="1">
      <alignment vertical="center" wrapText="1"/>
    </xf>
    <xf numFmtId="3" fontId="48" fillId="0" borderId="2" xfId="11" applyNumberFormat="1" applyFont="1" applyFill="1" applyBorder="1" applyAlignment="1">
      <alignment wrapText="1"/>
    </xf>
    <xf numFmtId="3" fontId="48" fillId="0" borderId="18" xfId="11" applyNumberFormat="1" applyFont="1" applyFill="1" applyBorder="1" applyAlignment="1">
      <alignment wrapText="1"/>
    </xf>
    <xf numFmtId="3" fontId="48" fillId="0" borderId="31" xfId="11" applyNumberFormat="1" applyFont="1" applyFill="1" applyBorder="1" applyAlignment="1">
      <alignment vertical="center" wrapText="1"/>
    </xf>
    <xf numFmtId="3" fontId="48" fillId="0" borderId="32" xfId="11" applyNumberFormat="1" applyFont="1" applyFill="1" applyBorder="1" applyAlignment="1">
      <alignment vertical="center" wrapText="1"/>
    </xf>
    <xf numFmtId="3" fontId="48" fillId="0" borderId="62" xfId="11" applyNumberFormat="1" applyFont="1" applyFill="1" applyBorder="1" applyAlignment="1">
      <alignment wrapText="1"/>
    </xf>
    <xf numFmtId="3" fontId="48" fillId="0" borderId="98" xfId="11" applyNumberFormat="1" applyFont="1" applyFill="1" applyBorder="1" applyAlignment="1">
      <alignment vertical="center" wrapText="1"/>
    </xf>
    <xf numFmtId="49" fontId="17" fillId="0" borderId="5" xfId="0" applyNumberFormat="1" applyFont="1" applyBorder="1" applyAlignment="1">
      <alignment horizontal="left" indent="2"/>
    </xf>
    <xf numFmtId="49" fontId="18" fillId="0" borderId="21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left" indent="1"/>
    </xf>
    <xf numFmtId="165" fontId="11" fillId="0" borderId="9" xfId="11" applyNumberFormat="1" applyFont="1" applyFill="1" applyBorder="1" applyAlignment="1" applyProtection="1">
      <alignment horizontal="center" vertical="center" wrapText="1"/>
    </xf>
    <xf numFmtId="165" fontId="11" fillId="0" borderId="29" xfId="11" applyNumberFormat="1" applyFont="1" applyFill="1" applyBorder="1" applyAlignment="1" applyProtection="1">
      <alignment horizontal="center" vertical="center" wrapText="1"/>
    </xf>
    <xf numFmtId="3" fontId="11" fillId="0" borderId="32" xfId="11" applyNumberFormat="1" applyFont="1" applyFill="1" applyBorder="1" applyAlignment="1" applyProtection="1">
      <alignment vertical="center" wrapText="1"/>
    </xf>
    <xf numFmtId="3" fontId="12" fillId="0" borderId="18" xfId="11" applyNumberFormat="1" applyFont="1" applyFill="1" applyBorder="1" applyAlignment="1" applyProtection="1">
      <alignment vertical="center" wrapText="1"/>
    </xf>
    <xf numFmtId="3" fontId="12" fillId="0" borderId="17" xfId="11" applyNumberFormat="1" applyFont="1" applyFill="1" applyBorder="1" applyAlignment="1" applyProtection="1">
      <alignment vertical="center" wrapText="1"/>
    </xf>
    <xf numFmtId="3" fontId="10" fillId="0" borderId="29" xfId="11" applyNumberFormat="1" applyFont="1" applyFill="1" applyBorder="1" applyAlignment="1" applyProtection="1">
      <alignment vertical="center" wrapText="1"/>
    </xf>
    <xf numFmtId="3" fontId="11" fillId="0" borderId="29" xfId="11" applyNumberFormat="1" applyFont="1" applyFill="1" applyBorder="1" applyAlignment="1" applyProtection="1">
      <alignment vertical="center" wrapText="1"/>
    </xf>
    <xf numFmtId="3" fontId="11" fillId="0" borderId="39" xfId="11" applyNumberFormat="1" applyFont="1" applyFill="1" applyBorder="1" applyAlignment="1" applyProtection="1">
      <alignment vertical="center" wrapText="1"/>
    </xf>
    <xf numFmtId="3" fontId="12" fillId="0" borderId="41" xfId="11" applyNumberFormat="1" applyFont="1" applyFill="1" applyBorder="1" applyAlignment="1" applyProtection="1">
      <alignment vertical="center" wrapText="1"/>
    </xf>
    <xf numFmtId="3" fontId="12" fillId="0" borderId="26" xfId="11" applyNumberFormat="1" applyFont="1" applyFill="1" applyBorder="1" applyAlignment="1" applyProtection="1">
      <alignment horizontal="right" vertical="center" wrapText="1"/>
      <protection locked="0"/>
    </xf>
    <xf numFmtId="3" fontId="48" fillId="0" borderId="17" xfId="11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indent="1"/>
    </xf>
    <xf numFmtId="0" fontId="11" fillId="0" borderId="0" xfId="0" applyFont="1" applyFill="1"/>
    <xf numFmtId="4" fontId="7" fillId="0" borderId="0" xfId="11" applyNumberFormat="1" applyFont="1" applyFill="1"/>
    <xf numFmtId="4" fontId="9" fillId="0" borderId="0" xfId="11" applyNumberFormat="1" applyFont="1" applyFill="1" applyBorder="1" applyAlignment="1">
      <alignment vertical="center"/>
    </xf>
    <xf numFmtId="0" fontId="33" fillId="0" borderId="0" xfId="32" applyFont="1" applyAlignment="1">
      <alignment vertical="top" wrapText="1"/>
    </xf>
    <xf numFmtId="0" fontId="35" fillId="0" borderId="0" xfId="32" applyFont="1" applyAlignment="1">
      <alignment vertical="top"/>
    </xf>
    <xf numFmtId="0" fontId="33" fillId="0" borderId="0" xfId="28" applyFont="1" applyAlignment="1">
      <alignment vertical="top" wrapText="1"/>
    </xf>
    <xf numFmtId="3" fontId="11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1" applyNumberFormat="1" applyFont="1" applyFill="1" applyAlignment="1">
      <alignment horizontal="center" vertical="top"/>
    </xf>
    <xf numFmtId="3" fontId="16" fillId="0" borderId="0" xfId="11" applyNumberFormat="1" applyFont="1" applyFill="1" applyAlignment="1">
      <alignment vertical="top" wrapText="1"/>
    </xf>
    <xf numFmtId="3" fontId="16" fillId="0" borderId="0" xfId="11" applyNumberFormat="1" applyFont="1" applyFill="1" applyBorder="1" applyAlignment="1">
      <alignment vertical="top" wrapText="1"/>
    </xf>
    <xf numFmtId="3" fontId="15" fillId="0" borderId="0" xfId="1" applyNumberFormat="1" applyFont="1" applyFill="1" applyBorder="1" applyAlignment="1">
      <alignment horizontal="right" vertical="top" wrapText="1"/>
    </xf>
    <xf numFmtId="3" fontId="16" fillId="0" borderId="0" xfId="11" applyNumberFormat="1" applyFont="1" applyFill="1" applyAlignment="1">
      <alignment vertical="top"/>
    </xf>
    <xf numFmtId="0" fontId="12" fillId="0" borderId="0" xfId="11" applyFont="1" applyFill="1" applyBorder="1" applyAlignment="1"/>
    <xf numFmtId="3" fontId="11" fillId="0" borderId="0" xfId="11" applyNumberFormat="1" applyFont="1" applyFill="1" applyBorder="1" applyAlignment="1">
      <alignment horizontal="right" vertical="center" wrapText="1"/>
    </xf>
    <xf numFmtId="164" fontId="12" fillId="0" borderId="49" xfId="11" applyNumberFormat="1" applyFont="1" applyFill="1" applyBorder="1" applyAlignment="1"/>
    <xf numFmtId="3" fontId="52" fillId="0" borderId="60" xfId="11" applyNumberFormat="1" applyFont="1" applyFill="1" applyBorder="1" applyAlignment="1">
      <alignment vertical="center" wrapText="1"/>
    </xf>
    <xf numFmtId="3" fontId="52" fillId="0" borderId="16" xfId="11" applyNumberFormat="1" applyFont="1" applyFill="1" applyBorder="1" applyAlignment="1">
      <alignment vertical="center" wrapText="1"/>
    </xf>
    <xf numFmtId="3" fontId="52" fillId="0" borderId="17" xfId="11" applyNumberFormat="1" applyFont="1" applyFill="1" applyBorder="1" applyAlignment="1">
      <alignment vertical="center" wrapText="1"/>
    </xf>
    <xf numFmtId="3" fontId="52" fillId="0" borderId="62" xfId="11" applyNumberFormat="1" applyFont="1" applyFill="1" applyBorder="1" applyAlignment="1">
      <alignment vertical="center" wrapText="1"/>
    </xf>
    <xf numFmtId="3" fontId="52" fillId="0" borderId="2" xfId="11" applyNumberFormat="1" applyFont="1" applyFill="1" applyBorder="1" applyAlignment="1">
      <alignment vertical="center" wrapText="1"/>
    </xf>
    <xf numFmtId="3" fontId="52" fillId="0" borderId="18" xfId="11" applyNumberFormat="1" applyFont="1" applyFill="1" applyBorder="1" applyAlignment="1">
      <alignment vertical="center" wrapText="1"/>
    </xf>
    <xf numFmtId="3" fontId="11" fillId="0" borderId="58" xfId="11" applyNumberFormat="1" applyFont="1" applyBorder="1" applyAlignment="1">
      <alignment wrapText="1"/>
    </xf>
    <xf numFmtId="0" fontId="12" fillId="0" borderId="42" xfId="0" applyFont="1" applyFill="1" applyBorder="1" applyAlignment="1">
      <alignment horizontal="left" indent="1"/>
    </xf>
    <xf numFmtId="168" fontId="12" fillId="0" borderId="61" xfId="11" applyNumberFormat="1" applyFont="1" applyFill="1" applyBorder="1" applyAlignment="1">
      <alignment horizontal="center" vertical="center" wrapText="1"/>
    </xf>
    <xf numFmtId="168" fontId="12" fillId="0" borderId="62" xfId="11" applyNumberFormat="1" applyFont="1" applyFill="1" applyBorder="1" applyAlignment="1">
      <alignment horizontal="center" vertical="center" wrapText="1"/>
    </xf>
    <xf numFmtId="168" fontId="12" fillId="0" borderId="34" xfId="11" applyNumberFormat="1" applyFont="1" applyFill="1" applyBorder="1" applyAlignment="1">
      <alignment horizontal="center" vertical="center" wrapText="1"/>
    </xf>
    <xf numFmtId="3" fontId="53" fillId="0" borderId="0" xfId="11" applyNumberFormat="1" applyFont="1" applyFill="1" applyAlignment="1">
      <alignment vertical="center" wrapText="1"/>
    </xf>
    <xf numFmtId="3" fontId="55" fillId="0" borderId="0" xfId="11" applyNumberFormat="1" applyFont="1" applyFill="1" applyAlignment="1">
      <alignment horizontal="center" vertical="center" wrapText="1"/>
    </xf>
    <xf numFmtId="3" fontId="53" fillId="0" borderId="0" xfId="11" applyNumberFormat="1" applyFont="1" applyFill="1" applyAlignment="1">
      <alignment horizontal="center" vertical="center" wrapText="1"/>
    </xf>
    <xf numFmtId="3" fontId="53" fillId="0" borderId="55" xfId="11" applyNumberFormat="1" applyFont="1" applyFill="1" applyBorder="1" applyAlignment="1">
      <alignment horizontal="center" vertical="center" wrapText="1"/>
    </xf>
    <xf numFmtId="3" fontId="53" fillId="0" borderId="60" xfId="11" applyNumberFormat="1" applyFont="1" applyFill="1" applyBorder="1" applyAlignment="1">
      <alignment horizontal="center" vertical="center" wrapText="1"/>
    </xf>
    <xf numFmtId="3" fontId="53" fillId="0" borderId="62" xfId="11" applyNumberFormat="1" applyFont="1" applyFill="1" applyBorder="1" applyAlignment="1">
      <alignment horizontal="center" vertical="center" wrapText="1"/>
    </xf>
    <xf numFmtId="3" fontId="53" fillId="0" borderId="63" xfId="11" applyNumberFormat="1" applyFont="1" applyFill="1" applyBorder="1" applyAlignment="1">
      <alignment horizontal="center" vertical="center" wrapText="1"/>
    </xf>
    <xf numFmtId="3" fontId="56" fillId="0" borderId="47" xfId="11" applyNumberFormat="1" applyFont="1" applyFill="1" applyBorder="1" applyAlignment="1">
      <alignment horizontal="center" vertical="center" wrapText="1"/>
    </xf>
    <xf numFmtId="3" fontId="56" fillId="2" borderId="47" xfId="11" applyNumberFormat="1" applyFont="1" applyFill="1" applyBorder="1" applyAlignment="1">
      <alignment horizontal="center" vertical="center" wrapText="1"/>
    </xf>
    <xf numFmtId="3" fontId="53" fillId="0" borderId="86" xfId="11" applyNumberFormat="1" applyFont="1" applyFill="1" applyBorder="1" applyAlignment="1">
      <alignment horizontal="center" vertical="center" wrapText="1"/>
    </xf>
    <xf numFmtId="3" fontId="53" fillId="0" borderId="61" xfId="11" applyNumberFormat="1" applyFont="1" applyFill="1" applyBorder="1" applyAlignment="1">
      <alignment horizontal="center" vertical="center" wrapText="1"/>
    </xf>
    <xf numFmtId="3" fontId="56" fillId="0" borderId="11" xfId="11" applyNumberFormat="1" applyFont="1" applyFill="1" applyBorder="1" applyAlignment="1">
      <alignment horizontal="center" vertical="center" wrapText="1"/>
    </xf>
    <xf numFmtId="3" fontId="53" fillId="0" borderId="98" xfId="11" applyNumberFormat="1" applyFont="1" applyFill="1" applyBorder="1" applyAlignment="1">
      <alignment horizontal="center" vertical="center" wrapText="1"/>
    </xf>
    <xf numFmtId="3" fontId="56" fillId="0" borderId="96" xfId="11" applyNumberFormat="1" applyFont="1" applyFill="1" applyBorder="1" applyAlignment="1">
      <alignment horizontal="center" vertical="center" wrapText="1"/>
    </xf>
    <xf numFmtId="3" fontId="55" fillId="0" borderId="0" xfId="11" applyNumberFormat="1" applyFont="1" applyFill="1" applyAlignment="1">
      <alignment horizontal="center" vertical="center"/>
    </xf>
    <xf numFmtId="3" fontId="53" fillId="0" borderId="0" xfId="11" applyNumberFormat="1" applyFont="1" applyFill="1" applyAlignment="1">
      <alignment horizontal="center" vertical="center"/>
    </xf>
    <xf numFmtId="3" fontId="57" fillId="0" borderId="63" xfId="11" applyNumberFormat="1" applyFont="1" applyFill="1" applyBorder="1" applyAlignment="1">
      <alignment horizontal="center" vertical="center" wrapText="1"/>
    </xf>
    <xf numFmtId="3" fontId="56" fillId="0" borderId="11" xfId="11" applyNumberFormat="1" applyFont="1" applyFill="1" applyBorder="1" applyAlignment="1">
      <alignment horizontal="center" vertical="center"/>
    </xf>
    <xf numFmtId="3" fontId="57" fillId="0" borderId="62" xfId="11" applyNumberFormat="1" applyFont="1" applyFill="1" applyBorder="1" applyAlignment="1">
      <alignment horizontal="center" vertical="center" wrapText="1"/>
    </xf>
    <xf numFmtId="3" fontId="58" fillId="0" borderId="11" xfId="11" applyNumberFormat="1" applyFont="1" applyFill="1" applyBorder="1" applyAlignment="1">
      <alignment horizontal="center" vertical="center"/>
    </xf>
    <xf numFmtId="3" fontId="53" fillId="0" borderId="98" xfId="11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3" fontId="53" fillId="5" borderId="63" xfId="11" applyNumberFormat="1" applyFont="1" applyFill="1" applyBorder="1" applyAlignment="1">
      <alignment horizontal="center" vertical="center" wrapText="1"/>
    </xf>
    <xf numFmtId="3" fontId="56" fillId="5" borderId="11" xfId="11" applyNumberFormat="1" applyFont="1" applyFill="1" applyBorder="1" applyAlignment="1">
      <alignment horizontal="center" vertical="center" wrapText="1"/>
    </xf>
    <xf numFmtId="3" fontId="54" fillId="0" borderId="0" xfId="0" applyNumberFormat="1" applyFont="1"/>
    <xf numFmtId="3" fontId="19" fillId="0" borderId="0" xfId="11" applyNumberFormat="1" applyFont="1" applyAlignment="1">
      <alignment vertical="top"/>
    </xf>
    <xf numFmtId="3" fontId="15" fillId="0" borderId="0" xfId="11" applyNumberFormat="1" applyFont="1" applyAlignment="1">
      <alignment vertical="top"/>
    </xf>
    <xf numFmtId="0" fontId="12" fillId="0" borderId="49" xfId="11" applyFont="1" applyBorder="1" applyAlignment="1">
      <alignment horizontal="center" vertical="center"/>
    </xf>
    <xf numFmtId="165" fontId="12" fillId="0" borderId="19" xfId="11" applyNumberFormat="1" applyFont="1" applyFill="1" applyBorder="1" applyAlignment="1" applyProtection="1">
      <alignment vertical="center" wrapText="1"/>
      <protection locked="0"/>
    </xf>
    <xf numFmtId="3" fontId="17" fillId="0" borderId="62" xfId="0" applyNumberFormat="1" applyFont="1" applyFill="1" applyBorder="1"/>
    <xf numFmtId="3" fontId="17" fillId="0" borderId="94" xfId="0" applyNumberFormat="1" applyFont="1" applyFill="1" applyBorder="1"/>
    <xf numFmtId="3" fontId="11" fillId="0" borderId="34" xfId="11" applyNumberFormat="1" applyFont="1" applyFill="1" applyBorder="1" applyAlignment="1">
      <alignment horizontal="center" vertical="center"/>
    </xf>
    <xf numFmtId="0" fontId="12" fillId="0" borderId="67" xfId="11" applyFont="1" applyFill="1" applyBorder="1" applyAlignment="1">
      <alignment wrapText="1"/>
    </xf>
    <xf numFmtId="0" fontId="12" fillId="0" borderId="2" xfId="11" applyFont="1" applyFill="1" applyBorder="1" applyAlignment="1">
      <alignment horizontal="left" vertical="center" wrapText="1" indent="2"/>
    </xf>
    <xf numFmtId="0" fontId="59" fillId="0" borderId="8" xfId="11" applyFont="1" applyFill="1" applyBorder="1" applyAlignment="1" applyProtection="1">
      <alignment horizontal="left" vertical="center" wrapText="1" indent="2"/>
      <protection locked="0"/>
    </xf>
    <xf numFmtId="3" fontId="59" fillId="0" borderId="26" xfId="11" applyNumberFormat="1" applyFont="1" applyFill="1" applyBorder="1" applyAlignment="1">
      <alignment vertical="center" wrapText="1"/>
    </xf>
    <xf numFmtId="3" fontId="53" fillId="5" borderId="60" xfId="1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wrapText="1" indent="1"/>
    </xf>
    <xf numFmtId="168" fontId="11" fillId="0" borderId="34" xfId="11" applyNumberFormat="1" applyFont="1" applyFill="1" applyBorder="1" applyAlignment="1">
      <alignment horizontal="center" vertical="center" wrapText="1"/>
    </xf>
    <xf numFmtId="3" fontId="12" fillId="0" borderId="11" xfId="11" applyNumberFormat="1" applyFont="1" applyFill="1" applyBorder="1" applyAlignment="1">
      <alignment vertical="center" wrapText="1"/>
    </xf>
    <xf numFmtId="3" fontId="12" fillId="0" borderId="10" xfId="11" applyNumberFormat="1" applyFont="1" applyFill="1" applyBorder="1" applyAlignment="1">
      <alignment vertical="center" wrapText="1"/>
    </xf>
    <xf numFmtId="3" fontId="12" fillId="0" borderId="9" xfId="11" applyNumberFormat="1" applyFont="1" applyFill="1" applyBorder="1" applyAlignment="1">
      <alignment vertical="center" wrapText="1"/>
    </xf>
    <xf numFmtId="3" fontId="11" fillId="0" borderId="41" xfId="11" applyNumberFormat="1" applyFont="1" applyFill="1" applyBorder="1"/>
    <xf numFmtId="168" fontId="12" fillId="0" borderId="60" xfId="11" applyNumberFormat="1" applyFont="1" applyFill="1" applyBorder="1" applyAlignment="1">
      <alignment horizontal="center" vertical="center" wrapText="1"/>
    </xf>
    <xf numFmtId="0" fontId="12" fillId="0" borderId="17" xfId="11" applyFont="1" applyFill="1" applyBorder="1" applyAlignment="1">
      <alignment horizontal="left" vertical="center" wrapText="1" indent="1"/>
    </xf>
    <xf numFmtId="3" fontId="12" fillId="0" borderId="40" xfId="11" applyNumberFormat="1" applyFont="1" applyBorder="1"/>
    <xf numFmtId="168" fontId="12" fillId="0" borderId="63" xfId="11" applyNumberFormat="1" applyFont="1" applyFill="1" applyBorder="1" applyAlignment="1">
      <alignment horizontal="center" vertical="center" wrapText="1"/>
    </xf>
    <xf numFmtId="3" fontId="11" fillId="0" borderId="4" xfId="11" applyNumberFormat="1" applyFont="1" applyBorder="1"/>
    <xf numFmtId="3" fontId="11" fillId="0" borderId="24" xfId="11" applyNumberFormat="1" applyFont="1" applyBorder="1"/>
    <xf numFmtId="168" fontId="12" fillId="0" borderId="98" xfId="11" applyNumberFormat="1" applyFont="1" applyFill="1" applyBorder="1" applyAlignment="1">
      <alignment horizontal="center" vertical="center" wrapText="1"/>
    </xf>
    <xf numFmtId="3" fontId="11" fillId="0" borderId="1" xfId="11" applyNumberFormat="1" applyFont="1" applyBorder="1"/>
    <xf numFmtId="3" fontId="11" fillId="0" borderId="46" xfId="11" applyNumberFormat="1" applyFont="1" applyBorder="1"/>
    <xf numFmtId="3" fontId="11" fillId="0" borderId="27" xfId="11" applyNumberFormat="1" applyFont="1" applyBorder="1"/>
    <xf numFmtId="3" fontId="11" fillId="0" borderId="35" xfId="11" applyNumberFormat="1" applyFont="1" applyBorder="1"/>
    <xf numFmtId="168" fontId="12" fillId="0" borderId="11" xfId="11" applyNumberFormat="1" applyFont="1" applyFill="1" applyBorder="1" applyAlignment="1">
      <alignment horizontal="center" vertical="center" wrapText="1"/>
    </xf>
    <xf numFmtId="3" fontId="12" fillId="0" borderId="12" xfId="11" applyNumberFormat="1" applyFont="1" applyBorder="1" applyAlignment="1">
      <alignment horizontal="left" indent="1"/>
    </xf>
    <xf numFmtId="3" fontId="12" fillId="0" borderId="13" xfId="11" applyNumberFormat="1" applyFont="1" applyBorder="1"/>
    <xf numFmtId="3" fontId="11" fillId="0" borderId="34" xfId="1" applyNumberFormat="1" applyFont="1" applyBorder="1"/>
    <xf numFmtId="3" fontId="12" fillId="6" borderId="0" xfId="11" applyNumberFormat="1" applyFont="1" applyFill="1"/>
    <xf numFmtId="3" fontId="11" fillId="0" borderId="11" xfId="11" applyNumberFormat="1" applyFont="1" applyBorder="1" applyAlignment="1">
      <alignment horizontal="center" vertical="center" wrapText="1"/>
    </xf>
    <xf numFmtId="3" fontId="11" fillId="0" borderId="12" xfId="11" applyNumberFormat="1" applyFont="1" applyBorder="1" applyAlignment="1">
      <alignment horizontal="center" vertical="center" wrapText="1"/>
    </xf>
    <xf numFmtId="3" fontId="11" fillId="0" borderId="13" xfId="11" applyNumberFormat="1" applyFont="1" applyFill="1" applyBorder="1" applyAlignment="1">
      <alignment horizontal="center" vertical="center" wrapText="1"/>
    </xf>
    <xf numFmtId="3" fontId="11" fillId="0" borderId="13" xfId="11" applyNumberFormat="1" applyFont="1" applyBorder="1" applyAlignment="1">
      <alignment horizontal="center" vertical="center" wrapText="1"/>
    </xf>
    <xf numFmtId="3" fontId="12" fillId="0" borderId="59" xfId="11" applyNumberFormat="1" applyFont="1" applyFill="1" applyBorder="1" applyAlignment="1" applyProtection="1">
      <alignment vertical="center" wrapText="1"/>
      <protection locked="0"/>
    </xf>
    <xf numFmtId="3" fontId="21" fillId="0" borderId="18" xfId="11" applyNumberFormat="1" applyFont="1" applyFill="1" applyBorder="1" applyAlignment="1" applyProtection="1">
      <alignment vertical="center" wrapText="1"/>
      <protection locked="0"/>
    </xf>
    <xf numFmtId="3" fontId="53" fillId="0" borderId="56" xfId="1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/>
    <xf numFmtId="168" fontId="12" fillId="0" borderId="48" xfId="1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3" fontId="11" fillId="0" borderId="13" xfId="11" applyNumberFormat="1" applyFont="1" applyBorder="1" applyAlignment="1">
      <alignment wrapText="1"/>
    </xf>
    <xf numFmtId="3" fontId="11" fillId="0" borderId="0" xfId="0" applyNumberFormat="1" applyFont="1" applyFill="1"/>
    <xf numFmtId="0" fontId="38" fillId="0" borderId="9" xfId="11" applyFont="1" applyBorder="1" applyAlignment="1">
      <alignment horizontal="center"/>
    </xf>
    <xf numFmtId="3" fontId="10" fillId="0" borderId="0" xfId="11" applyNumberFormat="1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center" vertical="center"/>
    </xf>
    <xf numFmtId="3" fontId="10" fillId="0" borderId="0" xfId="11" applyNumberFormat="1" applyFont="1" applyFill="1" applyBorder="1" applyAlignment="1">
      <alignment vertical="center"/>
    </xf>
    <xf numFmtId="3" fontId="11" fillId="0" borderId="55" xfId="11" applyNumberFormat="1" applyFont="1" applyFill="1" applyBorder="1" applyAlignment="1"/>
    <xf numFmtId="3" fontId="11" fillId="0" borderId="17" xfId="11" applyNumberFormat="1" applyFont="1" applyFill="1" applyBorder="1" applyAlignment="1">
      <alignment vertical="center"/>
    </xf>
    <xf numFmtId="3" fontId="12" fillId="0" borderId="17" xfId="11" applyNumberFormat="1" applyFont="1" applyFill="1" applyBorder="1" applyAlignment="1">
      <alignment vertical="center"/>
    </xf>
    <xf numFmtId="3" fontId="11" fillId="0" borderId="60" xfId="11" applyNumberFormat="1" applyFont="1" applyFill="1" applyBorder="1" applyAlignment="1">
      <alignment vertical="center"/>
    </xf>
    <xf numFmtId="3" fontId="11" fillId="0" borderId="16" xfId="11" applyNumberFormat="1" applyFont="1" applyFill="1" applyBorder="1" applyAlignment="1">
      <alignment vertical="center"/>
    </xf>
    <xf numFmtId="3" fontId="11" fillId="0" borderId="8" xfId="11" applyNumberFormat="1" applyFont="1" applyFill="1" applyBorder="1" applyAlignment="1">
      <alignment vertical="center"/>
    </xf>
    <xf numFmtId="3" fontId="11" fillId="0" borderId="13" xfId="11" applyNumberFormat="1" applyFont="1" applyFill="1" applyBorder="1" applyAlignment="1">
      <alignment horizontal="center" vertical="center"/>
    </xf>
    <xf numFmtId="3" fontId="11" fillId="0" borderId="58" xfId="11" applyNumberFormat="1" applyFont="1" applyFill="1" applyBorder="1" applyAlignment="1">
      <alignment horizontal="center" vertical="center"/>
    </xf>
    <xf numFmtId="0" fontId="19" fillId="0" borderId="0" xfId="0" applyFont="1" applyFill="1"/>
    <xf numFmtId="4" fontId="19" fillId="0" borderId="0" xfId="0" applyNumberFormat="1" applyFont="1" applyFill="1"/>
    <xf numFmtId="0" fontId="11" fillId="0" borderId="0" xfId="11" applyFont="1" applyFill="1"/>
    <xf numFmtId="0" fontId="15" fillId="0" borderId="0" xfId="0" applyFont="1" applyFill="1"/>
    <xf numFmtId="4" fontId="11" fillId="0" borderId="0" xfId="11" applyNumberFormat="1" applyFont="1" applyFill="1"/>
    <xf numFmtId="9" fontId="12" fillId="0" borderId="0" xfId="36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12" fillId="0" borderId="0" xfId="11" applyNumberFormat="1" applyFont="1" applyFill="1"/>
    <xf numFmtId="0" fontId="16" fillId="0" borderId="0" xfId="0" applyFont="1" applyFill="1"/>
    <xf numFmtId="4" fontId="12" fillId="0" borderId="0" xfId="11" applyNumberFormat="1" applyFont="1" applyFill="1" applyAlignment="1">
      <alignment horizontal="center"/>
    </xf>
    <xf numFmtId="4" fontId="16" fillId="0" borderId="0" xfId="0" applyNumberFormat="1" applyFont="1" applyFill="1"/>
    <xf numFmtId="4" fontId="12" fillId="0" borderId="0" xfId="11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11" applyFont="1" applyFill="1"/>
    <xf numFmtId="3" fontId="12" fillId="0" borderId="62" xfId="33" applyNumberFormat="1" applyFont="1" applyFill="1" applyBorder="1" applyAlignment="1" applyProtection="1">
      <alignment vertical="center"/>
      <protection locked="0"/>
    </xf>
    <xf numFmtId="3" fontId="12" fillId="0" borderId="2" xfId="33" applyNumberFormat="1" applyFont="1" applyFill="1" applyBorder="1" applyAlignment="1" applyProtection="1">
      <alignment vertical="center"/>
      <protection locked="0"/>
    </xf>
    <xf numFmtId="3" fontId="12" fillId="0" borderId="56" xfId="33" applyNumberFormat="1" applyFont="1" applyFill="1" applyBorder="1" applyAlignment="1" applyProtection="1">
      <alignment vertical="center"/>
      <protection locked="0"/>
    </xf>
    <xf numFmtId="0" fontId="12" fillId="0" borderId="63" xfId="11" applyFont="1" applyBorder="1" applyAlignment="1">
      <alignment horizontal="center" wrapText="1"/>
    </xf>
    <xf numFmtId="0" fontId="7" fillId="0" borderId="0" xfId="11" applyNumberFormat="1" applyFont="1" applyFill="1" applyAlignment="1">
      <alignment vertical="center" wrapText="1"/>
    </xf>
    <xf numFmtId="0" fontId="12" fillId="0" borderId="0" xfId="11" applyNumberFormat="1" applyFont="1" applyFill="1" applyAlignment="1">
      <alignment vertical="center" wrapText="1"/>
    </xf>
    <xf numFmtId="0" fontId="12" fillId="0" borderId="96" xfId="11" applyNumberFormat="1" applyFont="1" applyFill="1" applyBorder="1" applyAlignment="1">
      <alignment horizontal="center"/>
    </xf>
    <xf numFmtId="0" fontId="11" fillId="0" borderId="47" xfId="11" applyNumberFormat="1" applyFont="1" applyFill="1" applyBorder="1" applyAlignment="1">
      <alignment horizontal="center"/>
    </xf>
    <xf numFmtId="0" fontId="12" fillId="0" borderId="57" xfId="11" applyNumberFormat="1" applyFont="1" applyFill="1" applyBorder="1" applyAlignment="1">
      <alignment horizontal="center"/>
    </xf>
    <xf numFmtId="0" fontId="7" fillId="0" borderId="0" xfId="11" applyNumberFormat="1" applyFont="1" applyFill="1" applyAlignment="1">
      <alignment horizontal="center" vertical="center" wrapText="1"/>
    </xf>
    <xf numFmtId="0" fontId="12" fillId="0" borderId="0" xfId="11" applyNumberFormat="1" applyFont="1" applyFill="1" applyAlignment="1">
      <alignment horizontal="center" vertical="center" wrapText="1"/>
    </xf>
    <xf numFmtId="0" fontId="12" fillId="0" borderId="86" xfId="11" applyNumberFormat="1" applyFont="1" applyFill="1" applyBorder="1" applyAlignment="1">
      <alignment horizontal="center" vertical="center" wrapText="1"/>
    </xf>
    <xf numFmtId="0" fontId="11" fillId="0" borderId="11" xfId="11" applyNumberFormat="1" applyFont="1" applyFill="1" applyBorder="1" applyAlignment="1">
      <alignment horizontal="center" vertical="center" wrapText="1"/>
    </xf>
    <xf numFmtId="0" fontId="12" fillId="0" borderId="98" xfId="11" applyNumberFormat="1" applyFont="1" applyFill="1" applyBorder="1" applyAlignment="1">
      <alignment horizontal="center" vertical="center" wrapText="1"/>
    </xf>
    <xf numFmtId="3" fontId="53" fillId="5" borderId="62" xfId="11" applyNumberFormat="1" applyFont="1" applyFill="1" applyBorder="1" applyAlignment="1">
      <alignment horizontal="center" vertical="center" wrapText="1"/>
    </xf>
    <xf numFmtId="3" fontId="16" fillId="0" borderId="0" xfId="11" applyNumberFormat="1" applyFont="1" applyBorder="1" applyAlignment="1">
      <alignment vertical="top" wrapText="1"/>
    </xf>
    <xf numFmtId="3" fontId="15" fillId="0" borderId="0" xfId="11" applyNumberFormat="1" applyFont="1" applyAlignment="1">
      <alignment vertical="top" wrapText="1"/>
    </xf>
    <xf numFmtId="49" fontId="17" fillId="0" borderId="0" xfId="11" applyNumberFormat="1" applyFont="1" applyAlignment="1">
      <alignment horizontal="center" vertical="top" wrapText="1"/>
    </xf>
    <xf numFmtId="0" fontId="17" fillId="0" borderId="0" xfId="11" applyNumberFormat="1" applyFont="1" applyAlignment="1">
      <alignment vertical="top"/>
    </xf>
    <xf numFmtId="0" fontId="17" fillId="0" borderId="0" xfId="11" applyNumberFormat="1" applyFont="1" applyAlignment="1">
      <alignment horizontal="justify" vertical="top"/>
    </xf>
    <xf numFmtId="3" fontId="17" fillId="0" borderId="0" xfId="11" applyNumberFormat="1" applyFont="1" applyAlignment="1">
      <alignment vertical="top" wrapText="1"/>
    </xf>
    <xf numFmtId="3" fontId="17" fillId="0" borderId="0" xfId="11" applyNumberFormat="1" applyFont="1" applyFill="1" applyAlignment="1">
      <alignment vertical="top" wrapText="1"/>
    </xf>
    <xf numFmtId="3" fontId="17" fillId="0" borderId="0" xfId="11" applyNumberFormat="1" applyFont="1" applyAlignment="1">
      <alignment vertical="top"/>
    </xf>
    <xf numFmtId="3" fontId="16" fillId="0" borderId="0" xfId="11" applyNumberFormat="1" applyFont="1" applyBorder="1" applyAlignment="1">
      <alignment vertical="top"/>
    </xf>
    <xf numFmtId="0" fontId="16" fillId="0" borderId="0" xfId="11" applyNumberFormat="1" applyFont="1" applyAlignment="1">
      <alignment horizontal="right" vertical="top" wrapText="1"/>
    </xf>
    <xf numFmtId="0" fontId="21" fillId="0" borderId="20" xfId="11" applyFont="1" applyFill="1" applyBorder="1" applyAlignment="1" applyProtection="1">
      <alignment horizontal="left" vertical="center" indent="1"/>
      <protection locked="0"/>
    </xf>
    <xf numFmtId="3" fontId="9" fillId="0" borderId="0" xfId="11" applyNumberFormat="1" applyFont="1" applyFill="1" applyAlignment="1" applyProtection="1">
      <alignment horizontal="left"/>
      <protection locked="0"/>
    </xf>
    <xf numFmtId="3" fontId="9" fillId="0" borderId="0" xfId="11" applyNumberFormat="1" applyFont="1" applyFill="1" applyAlignment="1">
      <alignment horizontal="center" vertical="center" wrapText="1"/>
    </xf>
    <xf numFmtId="3" fontId="9" fillId="0" borderId="0" xfId="11" applyNumberFormat="1" applyFont="1" applyFill="1" applyAlignment="1">
      <alignment horizontal="center"/>
    </xf>
    <xf numFmtId="3" fontId="11" fillId="0" borderId="33" xfId="11" applyNumberFormat="1" applyFont="1" applyFill="1" applyBorder="1" applyAlignment="1">
      <alignment horizontal="center" vertical="center"/>
    </xf>
    <xf numFmtId="3" fontId="11" fillId="0" borderId="41" xfId="11" applyNumberFormat="1" applyFont="1" applyFill="1" applyBorder="1" applyAlignment="1">
      <alignment horizontal="center" vertical="center"/>
    </xf>
    <xf numFmtId="3" fontId="9" fillId="0" borderId="0" xfId="33" applyNumberFormat="1" applyFont="1" applyFill="1" applyAlignment="1" applyProtection="1">
      <alignment horizontal="center"/>
    </xf>
    <xf numFmtId="3" fontId="11" fillId="0" borderId="0" xfId="33" applyNumberFormat="1" applyFont="1" applyFill="1" applyBorder="1" applyAlignment="1" applyProtection="1">
      <alignment horizontal="left" vertical="center" indent="1"/>
    </xf>
    <xf numFmtId="3" fontId="9" fillId="0" borderId="0" xfId="11" applyNumberFormat="1" applyFont="1" applyAlignment="1">
      <alignment horizontal="center"/>
    </xf>
    <xf numFmtId="0" fontId="16" fillId="0" borderId="0" xfId="11" applyNumberFormat="1" applyFont="1" applyAlignment="1">
      <alignment horizontal="left" vertical="top" wrapText="1"/>
    </xf>
    <xf numFmtId="0" fontId="16" fillId="0" borderId="0" xfId="11" applyNumberFormat="1" applyFont="1" applyAlignment="1">
      <alignment horizontal="justify" vertical="top"/>
    </xf>
    <xf numFmtId="0" fontId="16" fillId="0" borderId="0" xfId="11" applyNumberFormat="1" applyFont="1" applyAlignment="1">
      <alignment horizontal="justify" vertical="top" wrapText="1"/>
    </xf>
    <xf numFmtId="0" fontId="16" fillId="0" borderId="0" xfId="11" applyNumberFormat="1" applyFont="1" applyAlignment="1">
      <alignment vertical="top" wrapText="1"/>
    </xf>
    <xf numFmtId="0" fontId="16" fillId="0" borderId="0" xfId="11" applyFont="1" applyAlignment="1">
      <alignment horizontal="justify" vertical="top" wrapText="1"/>
    </xf>
    <xf numFmtId="49" fontId="7" fillId="0" borderId="0" xfId="11" applyNumberFormat="1" applyFont="1" applyFill="1" applyAlignment="1">
      <alignment horizontal="center" vertical="center" wrapText="1"/>
    </xf>
    <xf numFmtId="49" fontId="12" fillId="0" borderId="0" xfId="11" applyNumberFormat="1" applyFont="1" applyFill="1" applyAlignment="1">
      <alignment horizontal="center" vertical="center" wrapText="1"/>
    </xf>
    <xf numFmtId="4" fontId="12" fillId="0" borderId="55" xfId="11" applyNumberFormat="1" applyFont="1" applyFill="1" applyBorder="1" applyAlignment="1">
      <alignment horizontal="center" vertical="center" wrapText="1"/>
    </xf>
    <xf numFmtId="4" fontId="12" fillId="0" borderId="39" xfId="11" applyNumberFormat="1" applyFont="1" applyFill="1" applyBorder="1" applyAlignment="1">
      <alignment horizontal="left" vertical="center" wrapText="1"/>
    </xf>
    <xf numFmtId="0" fontId="12" fillId="0" borderId="39" xfId="11" applyFont="1" applyFill="1" applyBorder="1" applyAlignment="1"/>
    <xf numFmtId="3" fontId="48" fillId="0" borderId="8" xfId="11" applyNumberFormat="1" applyFont="1" applyFill="1" applyBorder="1" applyAlignment="1">
      <alignment vertical="center" wrapText="1"/>
    </xf>
    <xf numFmtId="4" fontId="12" fillId="0" borderId="60" xfId="11" applyNumberFormat="1" applyFont="1" applyFill="1" applyBorder="1" applyAlignment="1">
      <alignment horizontal="center" vertical="center" wrapText="1"/>
    </xf>
    <xf numFmtId="49" fontId="12" fillId="0" borderId="94" xfId="11" applyNumberFormat="1" applyFont="1" applyFill="1" applyBorder="1" applyAlignment="1">
      <alignment horizontal="left" vertical="center" wrapText="1"/>
    </xf>
    <xf numFmtId="3" fontId="12" fillId="0" borderId="55" xfId="11" applyNumberFormat="1" applyFont="1" applyFill="1" applyBorder="1" applyAlignment="1">
      <alignment horizontal="center"/>
    </xf>
    <xf numFmtId="0" fontId="12" fillId="0" borderId="2" xfId="11" applyFont="1" applyFill="1" applyBorder="1" applyAlignment="1"/>
    <xf numFmtId="3" fontId="12" fillId="0" borderId="49" xfId="11" applyNumberFormat="1" applyFont="1" applyFill="1" applyBorder="1" applyAlignment="1">
      <alignment horizontal="center"/>
    </xf>
    <xf numFmtId="0" fontId="12" fillId="0" borderId="31" xfId="11" applyFont="1" applyFill="1" applyBorder="1" applyAlignment="1"/>
    <xf numFmtId="0" fontId="12" fillId="0" borderId="18" xfId="11" applyFont="1" applyFill="1" applyBorder="1" applyAlignment="1"/>
    <xf numFmtId="49" fontId="12" fillId="0" borderId="95" xfId="11" applyNumberFormat="1" applyFont="1" applyFill="1" applyBorder="1" applyAlignment="1">
      <alignment horizontal="left" vertical="center" wrapText="1"/>
    </xf>
    <xf numFmtId="3" fontId="12" fillId="0" borderId="16" xfId="31" applyNumberFormat="1" applyFont="1" applyFill="1" applyBorder="1" applyAlignment="1" applyProtection="1">
      <alignment vertical="center" wrapText="1"/>
    </xf>
    <xf numFmtId="49" fontId="12" fillId="0" borderId="88" xfId="11" applyNumberFormat="1" applyFont="1" applyFill="1" applyBorder="1" applyAlignment="1">
      <alignment horizontal="left" vertical="center" wrapText="1"/>
    </xf>
    <xf numFmtId="3" fontId="12" fillId="0" borderId="59" xfId="11" applyNumberFormat="1" applyFont="1" applyFill="1" applyBorder="1" applyAlignment="1">
      <alignment horizontal="center"/>
    </xf>
    <xf numFmtId="0" fontId="12" fillId="0" borderId="26" xfId="11" applyFont="1" applyFill="1" applyBorder="1" applyAlignment="1"/>
    <xf numFmtId="3" fontId="12" fillId="0" borderId="49" xfId="11" applyNumberFormat="1" applyFont="1" applyFill="1" applyBorder="1" applyAlignment="1">
      <alignment horizontal="center" vertical="center" wrapText="1"/>
    </xf>
    <xf numFmtId="3" fontId="48" fillId="0" borderId="56" xfId="11" applyNumberFormat="1" applyFont="1" applyFill="1" applyBorder="1" applyAlignment="1">
      <alignment vertical="center" wrapText="1"/>
    </xf>
    <xf numFmtId="3" fontId="11" fillId="0" borderId="58" xfId="11" applyNumberFormat="1" applyFont="1" applyFill="1" applyBorder="1" applyAlignment="1">
      <alignment vertical="center" wrapText="1"/>
    </xf>
    <xf numFmtId="3" fontId="11" fillId="2" borderId="58" xfId="11" applyNumberFormat="1" applyFont="1" applyFill="1" applyBorder="1" applyAlignment="1" applyProtection="1">
      <alignment horizontal="right" vertical="center" wrapText="1"/>
      <protection locked="0"/>
    </xf>
    <xf numFmtId="3" fontId="53" fillId="0" borderId="11" xfId="11" applyNumberFormat="1" applyFont="1" applyFill="1" applyBorder="1" applyAlignment="1">
      <alignment horizontal="center" vertical="center" wrapText="1"/>
    </xf>
    <xf numFmtId="49" fontId="12" fillId="0" borderId="11" xfId="11" applyNumberFormat="1" applyFont="1" applyFill="1" applyBorder="1" applyAlignment="1">
      <alignment horizontal="center" vertical="center" wrapText="1"/>
    </xf>
    <xf numFmtId="49" fontId="12" fillId="0" borderId="12" xfId="11" applyNumberFormat="1" applyFont="1" applyFill="1" applyBorder="1" applyAlignment="1">
      <alignment horizontal="left" vertical="center" wrapText="1"/>
    </xf>
    <xf numFmtId="3" fontId="12" fillId="0" borderId="47" xfId="11" applyNumberFormat="1" applyFont="1" applyFill="1" applyBorder="1" applyAlignment="1">
      <alignment horizontal="center"/>
    </xf>
    <xf numFmtId="3" fontId="11" fillId="0" borderId="85" xfId="11" applyNumberFormat="1" applyFont="1" applyFill="1" applyBorder="1" applyAlignment="1" applyProtection="1">
      <alignment horizontal="right" vertical="center" wrapText="1"/>
      <protection locked="0"/>
    </xf>
    <xf numFmtId="49" fontId="12" fillId="0" borderId="90" xfId="11" applyNumberFormat="1" applyFont="1" applyFill="1" applyBorder="1" applyAlignment="1">
      <alignment horizontal="left" vertical="center" wrapText="1"/>
    </xf>
    <xf numFmtId="3" fontId="12" fillId="0" borderId="48" xfId="11" applyNumberFormat="1" applyFont="1" applyFill="1" applyBorder="1" applyAlignment="1">
      <alignment horizontal="center"/>
    </xf>
    <xf numFmtId="3" fontId="48" fillId="0" borderId="54" xfId="11" applyNumberFormat="1" applyFont="1" applyFill="1" applyBorder="1" applyAlignment="1">
      <alignment vertical="center" wrapText="1"/>
    </xf>
    <xf numFmtId="3" fontId="48" fillId="0" borderId="49" xfId="11" applyNumberFormat="1" applyFont="1" applyFill="1" applyBorder="1" applyAlignment="1">
      <alignment vertical="center" wrapText="1"/>
    </xf>
    <xf numFmtId="3" fontId="52" fillId="0" borderId="61" xfId="11" applyNumberFormat="1" applyFont="1" applyFill="1" applyBorder="1" applyAlignment="1">
      <alignment vertical="center" wrapText="1"/>
    </xf>
    <xf numFmtId="3" fontId="52" fillId="0" borderId="38" xfId="11" applyNumberFormat="1" applyFont="1" applyFill="1" applyBorder="1" applyAlignment="1">
      <alignment vertical="center" wrapText="1"/>
    </xf>
    <xf numFmtId="3" fontId="52" fillId="0" borderId="39" xfId="11" applyNumberFormat="1" applyFont="1" applyFill="1" applyBorder="1" applyAlignment="1">
      <alignment vertical="center" wrapText="1"/>
    </xf>
    <xf numFmtId="3" fontId="11" fillId="0" borderId="47" xfId="11" applyNumberFormat="1" applyFont="1" applyFill="1" applyBorder="1" applyAlignment="1">
      <alignment horizontal="center"/>
    </xf>
    <xf numFmtId="3" fontId="12" fillId="0" borderId="57" xfId="11" applyNumberFormat="1" applyFont="1" applyFill="1" applyBorder="1" applyAlignment="1">
      <alignment horizontal="center"/>
    </xf>
    <xf numFmtId="0" fontId="12" fillId="0" borderId="32" xfId="11" applyFont="1" applyFill="1" applyBorder="1" applyAlignment="1"/>
    <xf numFmtId="3" fontId="48" fillId="0" borderId="3" xfId="11" applyNumberFormat="1" applyFont="1" applyFill="1" applyBorder="1" applyAlignment="1">
      <alignment vertical="center" wrapText="1"/>
    </xf>
    <xf numFmtId="3" fontId="11" fillId="2" borderId="58" xfId="11" applyNumberFormat="1" applyFont="1" applyFill="1" applyBorder="1" applyAlignment="1">
      <alignment vertical="center" wrapText="1"/>
    </xf>
    <xf numFmtId="3" fontId="12" fillId="0" borderId="3" xfId="11" applyNumberFormat="1" applyFont="1" applyFill="1" applyBorder="1" applyAlignment="1">
      <alignment vertical="center" wrapText="1"/>
    </xf>
    <xf numFmtId="3" fontId="11" fillId="2" borderId="58" xfId="11" applyNumberFormat="1" applyFont="1" applyFill="1" applyBorder="1" applyAlignment="1">
      <alignment horizontal="right" vertical="center" wrapText="1"/>
    </xf>
    <xf numFmtId="3" fontId="61" fillId="0" borderId="96" xfId="0" applyNumberFormat="1" applyFont="1" applyFill="1" applyBorder="1" applyAlignment="1">
      <alignment horizontal="center" vertical="center" wrapText="1"/>
    </xf>
    <xf numFmtId="3" fontId="61" fillId="0" borderId="86" xfId="0" applyNumberFormat="1" applyFont="1" applyFill="1" applyBorder="1" applyAlignment="1">
      <alignment horizontal="center" vertical="center" wrapText="1"/>
    </xf>
    <xf numFmtId="3" fontId="61" fillId="0" borderId="51" xfId="0" applyNumberFormat="1" applyFont="1" applyFill="1" applyBorder="1" applyAlignment="1">
      <alignment horizontal="center" vertical="center" wrapText="1"/>
    </xf>
    <xf numFmtId="3" fontId="61" fillId="0" borderId="50" xfId="0" applyNumberFormat="1" applyFont="1" applyFill="1" applyBorder="1" applyAlignment="1">
      <alignment horizontal="center" vertical="center" wrapText="1"/>
    </xf>
    <xf numFmtId="3" fontId="62" fillId="0" borderId="34" xfId="0" applyNumberFormat="1" applyFont="1" applyFill="1" applyBorder="1" applyAlignment="1">
      <alignment vertical="center" wrapText="1"/>
    </xf>
    <xf numFmtId="3" fontId="62" fillId="0" borderId="11" xfId="0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vertical="center" wrapText="1"/>
    </xf>
    <xf numFmtId="3" fontId="62" fillId="0" borderId="9" xfId="0" applyNumberFormat="1" applyFont="1" applyFill="1" applyBorder="1" applyAlignment="1">
      <alignment vertical="center" wrapText="1"/>
    </xf>
    <xf numFmtId="3" fontId="21" fillId="0" borderId="30" xfId="11" applyNumberFormat="1" applyFont="1" applyFill="1" applyBorder="1" applyAlignment="1">
      <alignment horizontal="left" vertical="center" wrapText="1" indent="4"/>
    </xf>
    <xf numFmtId="3" fontId="21" fillId="0" borderId="20" xfId="11" applyNumberFormat="1" applyFont="1" applyFill="1" applyBorder="1" applyAlignment="1">
      <alignment vertical="center" wrapText="1"/>
    </xf>
    <xf numFmtId="3" fontId="21" fillId="0" borderId="2" xfId="11" applyNumberFormat="1" applyFont="1" applyFill="1" applyBorder="1" applyAlignment="1">
      <alignment horizontal="right" vertical="center" wrapText="1"/>
    </xf>
    <xf numFmtId="3" fontId="21" fillId="0" borderId="18" xfId="11" applyNumberFormat="1" applyFont="1" applyFill="1" applyBorder="1" applyAlignment="1">
      <alignment vertical="center" wrapText="1"/>
    </xf>
    <xf numFmtId="3" fontId="21" fillId="0" borderId="35" xfId="11" applyNumberFormat="1" applyFont="1" applyFill="1" applyBorder="1" applyAlignment="1">
      <alignment horizontal="left" vertical="center" wrapText="1" indent="4"/>
    </xf>
    <xf numFmtId="3" fontId="21" fillId="0" borderId="27" xfId="11" applyNumberFormat="1" applyFont="1" applyFill="1" applyBorder="1" applyAlignment="1">
      <alignment vertical="center" wrapText="1"/>
    </xf>
    <xf numFmtId="3" fontId="21" fillId="0" borderId="28" xfId="11" applyNumberFormat="1" applyFont="1" applyFill="1" applyBorder="1" applyAlignment="1">
      <alignment horizontal="right" vertical="center" wrapText="1"/>
    </xf>
    <xf numFmtId="3" fontId="21" fillId="0" borderId="29" xfId="11" applyNumberFormat="1" applyFont="1" applyFill="1" applyBorder="1" applyAlignment="1">
      <alignment vertical="center" wrapText="1"/>
    </xf>
    <xf numFmtId="3" fontId="21" fillId="0" borderId="0" xfId="11" applyNumberFormat="1" applyFont="1" applyFill="1" applyBorder="1" applyAlignment="1">
      <alignment horizontal="left" vertical="center" wrapText="1"/>
    </xf>
    <xf numFmtId="3" fontId="21" fillId="0" borderId="0" xfId="11" applyNumberFormat="1" applyFont="1" applyFill="1" applyBorder="1" applyAlignment="1">
      <alignment vertical="center" wrapText="1"/>
    </xf>
    <xf numFmtId="3" fontId="21" fillId="0" borderId="0" xfId="11" applyNumberFormat="1" applyFont="1" applyFill="1" applyBorder="1" applyAlignment="1">
      <alignment horizontal="right" vertical="center" wrapText="1"/>
    </xf>
    <xf numFmtId="168" fontId="12" fillId="0" borderId="0" xfId="11" applyNumberFormat="1" applyFont="1" applyFill="1" applyBorder="1" applyAlignment="1">
      <alignment horizontal="right" vertical="center" wrapText="1"/>
    </xf>
    <xf numFmtId="3" fontId="12" fillId="0" borderId="0" xfId="11" applyNumberFormat="1" applyFont="1" applyFill="1" applyBorder="1" applyAlignment="1">
      <alignment horizontal="left" vertical="center" wrapText="1"/>
    </xf>
    <xf numFmtId="3" fontId="60" fillId="0" borderId="0" xfId="11" applyNumberFormat="1" applyFont="1" applyFill="1" applyBorder="1" applyAlignment="1">
      <alignment vertical="center" wrapText="1"/>
    </xf>
    <xf numFmtId="3" fontId="60" fillId="0" borderId="0" xfId="11" applyNumberFormat="1" applyFont="1" applyFill="1" applyAlignment="1">
      <alignment vertical="center" wrapText="1"/>
    </xf>
    <xf numFmtId="3" fontId="52" fillId="0" borderId="0" xfId="11" applyNumberFormat="1" applyFont="1" applyFill="1" applyAlignment="1">
      <alignment vertical="center" wrapText="1"/>
    </xf>
    <xf numFmtId="3" fontId="63" fillId="0" borderId="30" xfId="11" applyNumberFormat="1" applyFont="1" applyFill="1" applyBorder="1" applyAlignment="1" applyProtection="1">
      <alignment horizontal="right" wrapText="1"/>
      <protection locked="0"/>
    </xf>
    <xf numFmtId="3" fontId="63" fillId="0" borderId="17" xfId="11" applyNumberFormat="1" applyFont="1" applyFill="1" applyBorder="1" applyAlignment="1" applyProtection="1">
      <alignment horizontal="right" wrapText="1"/>
      <protection locked="0"/>
    </xf>
    <xf numFmtId="3" fontId="52" fillId="0" borderId="8" xfId="11" applyNumberFormat="1" applyFont="1" applyFill="1" applyBorder="1" applyAlignment="1">
      <alignment vertical="center" wrapText="1"/>
    </xf>
    <xf numFmtId="3" fontId="52" fillId="0" borderId="2" xfId="11" applyNumberFormat="1" applyFont="1" applyFill="1" applyBorder="1" applyAlignment="1">
      <alignment wrapText="1"/>
    </xf>
    <xf numFmtId="3" fontId="52" fillId="0" borderId="18" xfId="11" applyNumberFormat="1" applyFont="1" applyFill="1" applyBorder="1" applyAlignment="1">
      <alignment wrapText="1"/>
    </xf>
    <xf numFmtId="3" fontId="52" fillId="0" borderId="62" xfId="11" applyNumberFormat="1" applyFont="1" applyFill="1" applyBorder="1" applyAlignment="1">
      <alignment wrapText="1"/>
    </xf>
    <xf numFmtId="3" fontId="63" fillId="0" borderId="0" xfId="11" applyNumberFormat="1" applyFont="1" applyFill="1" applyAlignment="1">
      <alignment horizontal="center" wrapText="1"/>
    </xf>
    <xf numFmtId="0" fontId="63" fillId="0" borderId="0" xfId="11" applyFont="1" applyFill="1" applyAlignment="1">
      <alignment horizontal="center" wrapText="1"/>
    </xf>
    <xf numFmtId="3" fontId="52" fillId="0" borderId="16" xfId="11" applyNumberFormat="1" applyFont="1" applyFill="1" applyBorder="1" applyAlignment="1">
      <alignment wrapText="1"/>
    </xf>
    <xf numFmtId="3" fontId="52" fillId="0" borderId="17" xfId="11" applyNumberFormat="1" applyFont="1" applyFill="1" applyBorder="1" applyAlignment="1">
      <alignment wrapText="1"/>
    </xf>
    <xf numFmtId="3" fontId="52" fillId="0" borderId="60" xfId="11" applyNumberFormat="1" applyFont="1" applyFill="1" applyBorder="1" applyAlignment="1">
      <alignment wrapText="1"/>
    </xf>
    <xf numFmtId="3" fontId="52" fillId="0" borderId="0" xfId="11" applyNumberFormat="1" applyFont="1" applyFill="1" applyBorder="1" applyAlignment="1">
      <alignment vertical="center" wrapText="1"/>
    </xf>
    <xf numFmtId="3" fontId="21" fillId="0" borderId="22" xfId="11" applyNumberFormat="1" applyFont="1" applyFill="1" applyBorder="1" applyAlignment="1" applyProtection="1">
      <alignment vertical="center" wrapText="1"/>
      <protection locked="0"/>
    </xf>
    <xf numFmtId="3" fontId="16" fillId="0" borderId="0" xfId="0" quotePrefix="1" applyNumberFormat="1" applyFont="1" applyFill="1"/>
    <xf numFmtId="3" fontId="16" fillId="0" borderId="20" xfId="0" applyNumberFormat="1" applyFont="1" applyFill="1" applyBorder="1"/>
    <xf numFmtId="3" fontId="16" fillId="0" borderId="2" xfId="0" applyNumberFormat="1" applyFont="1" applyFill="1" applyBorder="1"/>
    <xf numFmtId="3" fontId="16" fillId="0" borderId="18" xfId="0" applyNumberFormat="1" applyFont="1" applyFill="1" applyBorder="1"/>
    <xf numFmtId="3" fontId="16" fillId="0" borderId="4" xfId="0" applyNumberFormat="1" applyFont="1" applyFill="1" applyBorder="1"/>
    <xf numFmtId="3" fontId="16" fillId="0" borderId="25" xfId="0" applyNumberFormat="1" applyFont="1" applyFill="1" applyBorder="1"/>
    <xf numFmtId="3" fontId="16" fillId="0" borderId="26" xfId="0" applyNumberFormat="1" applyFont="1" applyFill="1" applyBorder="1"/>
    <xf numFmtId="3" fontId="19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3" fontId="18" fillId="0" borderId="0" xfId="0" applyNumberFormat="1" applyFont="1" applyFill="1" applyAlignment="1">
      <alignment horizontal="left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46" xfId="0" applyNumberFormat="1" applyFont="1" applyFill="1" applyBorder="1" applyAlignment="1">
      <alignment horizontal="center"/>
    </xf>
    <xf numFmtId="49" fontId="15" fillId="0" borderId="0" xfId="0" applyNumberFormat="1" applyFont="1" applyFill="1" applyBorder="1"/>
    <xf numFmtId="3" fontId="15" fillId="0" borderId="33" xfId="0" applyNumberFormat="1" applyFont="1" applyFill="1" applyBorder="1"/>
    <xf numFmtId="3" fontId="15" fillId="0" borderId="1" xfId="0" applyNumberFormat="1" applyFont="1" applyFill="1" applyBorder="1"/>
    <xf numFmtId="3" fontId="15" fillId="0" borderId="31" xfId="0" applyNumberFormat="1" applyFont="1" applyFill="1" applyBorder="1"/>
    <xf numFmtId="3" fontId="15" fillId="0" borderId="32" xfId="0" applyNumberFormat="1" applyFont="1" applyFill="1" applyBorder="1"/>
    <xf numFmtId="49" fontId="15" fillId="0" borderId="41" xfId="0" applyNumberFormat="1" applyFont="1" applyFill="1" applyBorder="1" applyAlignment="1">
      <alignment horizontal="left" indent="1"/>
    </xf>
    <xf numFmtId="49" fontId="16" fillId="0" borderId="30" xfId="0" applyNumberFormat="1" applyFont="1" applyFill="1" applyBorder="1" applyAlignment="1">
      <alignment horizontal="center"/>
    </xf>
    <xf numFmtId="3" fontId="15" fillId="0" borderId="6" xfId="0" applyNumberFormat="1" applyFont="1" applyFill="1" applyBorder="1"/>
    <xf numFmtId="3" fontId="15" fillId="0" borderId="16" xfId="0" applyNumberFormat="1" applyFont="1" applyFill="1" applyBorder="1"/>
    <xf numFmtId="3" fontId="15" fillId="0" borderId="17" xfId="0" applyNumberFormat="1" applyFont="1" applyFill="1" applyBorder="1"/>
    <xf numFmtId="49" fontId="16" fillId="0" borderId="22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left" indent="2"/>
    </xf>
    <xf numFmtId="49" fontId="16" fillId="0" borderId="24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left" indent="2"/>
    </xf>
    <xf numFmtId="49" fontId="17" fillId="0" borderId="24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left" indent="2"/>
    </xf>
    <xf numFmtId="3" fontId="17" fillId="0" borderId="24" xfId="0" applyNumberFormat="1" applyFont="1" applyFill="1" applyBorder="1"/>
    <xf numFmtId="3" fontId="17" fillId="0" borderId="4" xfId="0" applyNumberFormat="1" applyFont="1" applyFill="1" applyBorder="1"/>
    <xf numFmtId="3" fontId="17" fillId="0" borderId="25" xfId="0" applyNumberFormat="1" applyFont="1" applyFill="1" applyBorder="1"/>
    <xf numFmtId="3" fontId="17" fillId="0" borderId="26" xfId="0" applyNumberFormat="1" applyFont="1" applyFill="1" applyBorder="1"/>
    <xf numFmtId="49" fontId="15" fillId="0" borderId="41" xfId="0" applyNumberFormat="1" applyFont="1" applyFill="1" applyBorder="1"/>
    <xf numFmtId="49" fontId="15" fillId="0" borderId="41" xfId="0" applyNumberFormat="1" applyFont="1" applyFill="1" applyBorder="1" applyAlignment="1">
      <alignment horizontal="left"/>
    </xf>
    <xf numFmtId="49" fontId="15" fillId="0" borderId="35" xfId="0" applyNumberFormat="1" applyFont="1" applyFill="1" applyBorder="1" applyAlignment="1">
      <alignment horizontal="center"/>
    </xf>
    <xf numFmtId="49" fontId="15" fillId="0" borderId="43" xfId="0" applyNumberFormat="1" applyFont="1" applyFill="1" applyBorder="1"/>
    <xf numFmtId="3" fontId="15" fillId="0" borderId="35" xfId="0" applyNumberFormat="1" applyFont="1" applyFill="1" applyBorder="1"/>
    <xf numFmtId="3" fontId="15" fillId="0" borderId="27" xfId="0" applyNumberFormat="1" applyFont="1" applyFill="1" applyBorder="1"/>
    <xf numFmtId="3" fontId="15" fillId="0" borderId="28" xfId="0" applyNumberFormat="1" applyFont="1" applyFill="1" applyBorder="1"/>
    <xf numFmtId="3" fontId="15" fillId="0" borderId="29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49" fontId="15" fillId="0" borderId="41" xfId="0" applyNumberFormat="1" applyFont="1" applyFill="1" applyBorder="1" applyAlignment="1">
      <alignment horizontal="center" vertical="center"/>
    </xf>
    <xf numFmtId="3" fontId="15" fillId="0" borderId="34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left" indent="1"/>
    </xf>
    <xf numFmtId="3" fontId="18" fillId="0" borderId="21" xfId="0" applyNumberFormat="1" applyFont="1" applyFill="1" applyBorder="1"/>
    <xf numFmtId="3" fontId="18" fillId="0" borderId="40" xfId="0" applyNumberFormat="1" applyFont="1" applyFill="1" applyBorder="1"/>
    <xf numFmtId="3" fontId="18" fillId="0" borderId="38" xfId="0" applyNumberFormat="1" applyFont="1" applyFill="1" applyBorder="1"/>
    <xf numFmtId="3" fontId="18" fillId="0" borderId="39" xfId="0" applyNumberFormat="1" applyFont="1" applyFill="1" applyBorder="1"/>
    <xf numFmtId="49" fontId="17" fillId="0" borderId="5" xfId="0" applyNumberFormat="1" applyFont="1" applyFill="1" applyBorder="1" applyAlignment="1">
      <alignment horizontal="left" indent="3"/>
    </xf>
    <xf numFmtId="3" fontId="16" fillId="0" borderId="61" xfId="0" applyNumberFormat="1" applyFont="1" applyFill="1" applyBorder="1"/>
    <xf numFmtId="3" fontId="16" fillId="0" borderId="38" xfId="0" applyNumberFormat="1" applyFont="1" applyFill="1" applyBorder="1"/>
    <xf numFmtId="3" fontId="16" fillId="0" borderId="39" xfId="0" applyNumberFormat="1" applyFont="1" applyFill="1" applyBorder="1"/>
    <xf numFmtId="3" fontId="16" fillId="0" borderId="62" xfId="0" applyNumberFormat="1" applyFont="1" applyFill="1" applyBorder="1"/>
    <xf numFmtId="3" fontId="16" fillId="0" borderId="63" xfId="0" applyNumberFormat="1" applyFont="1" applyFill="1" applyBorder="1"/>
    <xf numFmtId="3" fontId="16" fillId="0" borderId="89" xfId="0" applyNumberFormat="1" applyFont="1" applyFill="1" applyBorder="1"/>
    <xf numFmtId="3" fontId="16" fillId="0" borderId="19" xfId="0" applyNumberFormat="1" applyFont="1" applyFill="1" applyBorder="1"/>
    <xf numFmtId="3" fontId="16" fillId="0" borderId="36" xfId="0" applyNumberFormat="1" applyFont="1" applyFill="1" applyBorder="1"/>
    <xf numFmtId="49" fontId="16" fillId="0" borderId="7" xfId="0" applyNumberFormat="1" applyFont="1" applyFill="1" applyBorder="1"/>
    <xf numFmtId="49" fontId="16" fillId="0" borderId="23" xfId="0" applyNumberFormat="1" applyFont="1" applyFill="1" applyBorder="1" applyAlignment="1">
      <alignment horizontal="center"/>
    </xf>
    <xf numFmtId="49" fontId="16" fillId="0" borderId="44" xfId="0" applyNumberFormat="1" applyFont="1" applyFill="1" applyBorder="1"/>
    <xf numFmtId="3" fontId="16" fillId="0" borderId="23" xfId="0" applyNumberFormat="1" applyFont="1" applyFill="1" applyBorder="1"/>
    <xf numFmtId="3" fontId="16" fillId="0" borderId="37" xfId="0" applyNumberFormat="1" applyFont="1" applyFill="1" applyBorder="1"/>
    <xf numFmtId="49" fontId="17" fillId="0" borderId="23" xfId="0" applyNumberFormat="1" applyFont="1" applyFill="1" applyBorder="1" applyAlignment="1">
      <alignment horizontal="center"/>
    </xf>
    <xf numFmtId="49" fontId="17" fillId="0" borderId="44" xfId="0" applyNumberFormat="1" applyFont="1" applyFill="1" applyBorder="1" applyAlignment="1">
      <alignment horizontal="left" indent="3"/>
    </xf>
    <xf numFmtId="3" fontId="17" fillId="0" borderId="23" xfId="0" applyNumberFormat="1" applyFont="1" applyFill="1" applyBorder="1"/>
    <xf numFmtId="3" fontId="17" fillId="0" borderId="37" xfId="0" applyNumberFormat="1" applyFont="1" applyFill="1" applyBorder="1"/>
    <xf numFmtId="3" fontId="17" fillId="0" borderId="19" xfId="0" applyNumberFormat="1" applyFont="1" applyFill="1" applyBorder="1"/>
    <xf numFmtId="3" fontId="17" fillId="0" borderId="36" xfId="0" applyNumberFormat="1" applyFont="1" applyFill="1" applyBorder="1"/>
    <xf numFmtId="49" fontId="15" fillId="0" borderId="21" xfId="0" applyNumberFormat="1" applyFont="1" applyFill="1" applyBorder="1" applyAlignment="1">
      <alignment horizontal="center"/>
    </xf>
    <xf numFmtId="49" fontId="15" fillId="0" borderId="15" xfId="0" applyNumberFormat="1" applyFont="1" applyFill="1" applyBorder="1"/>
    <xf numFmtId="164" fontId="15" fillId="0" borderId="21" xfId="0" applyNumberFormat="1" applyFont="1" applyFill="1" applyBorder="1"/>
    <xf numFmtId="164" fontId="15" fillId="0" borderId="40" xfId="0" applyNumberFormat="1" applyFont="1" applyFill="1" applyBorder="1"/>
    <xf numFmtId="164" fontId="15" fillId="0" borderId="38" xfId="0" applyNumberFormat="1" applyFont="1" applyFill="1" applyBorder="1"/>
    <xf numFmtId="164" fontId="15" fillId="0" borderId="39" xfId="0" applyNumberFormat="1" applyFont="1" applyFill="1" applyBorder="1"/>
    <xf numFmtId="49" fontId="17" fillId="0" borderId="5" xfId="0" applyNumberFormat="1" applyFont="1" applyFill="1" applyBorder="1" applyAlignment="1">
      <alignment horizontal="left"/>
    </xf>
    <xf numFmtId="164" fontId="17" fillId="0" borderId="24" xfId="0" applyNumberFormat="1" applyFont="1" applyFill="1" applyBorder="1"/>
    <xf numFmtId="164" fontId="17" fillId="0" borderId="4" xfId="0" applyNumberFormat="1" applyFont="1" applyFill="1" applyBorder="1"/>
    <xf numFmtId="164" fontId="17" fillId="0" borderId="25" xfId="0" applyNumberFormat="1" applyFont="1" applyFill="1" applyBorder="1"/>
    <xf numFmtId="164" fontId="17" fillId="0" borderId="26" xfId="0" applyNumberFormat="1" applyFont="1" applyFill="1" applyBorder="1"/>
    <xf numFmtId="49" fontId="15" fillId="0" borderId="24" xfId="0" applyNumberFormat="1" applyFont="1" applyFill="1" applyBorder="1" applyAlignment="1">
      <alignment horizontal="center"/>
    </xf>
    <xf numFmtId="49" fontId="15" fillId="0" borderId="5" xfId="0" applyNumberFormat="1" applyFont="1" applyFill="1" applyBorder="1"/>
    <xf numFmtId="164" fontId="15" fillId="0" borderId="24" xfId="0" applyNumberFormat="1" applyFont="1" applyFill="1" applyBorder="1"/>
    <xf numFmtId="164" fontId="15" fillId="0" borderId="4" xfId="0" applyNumberFormat="1" applyFont="1" applyFill="1" applyBorder="1"/>
    <xf numFmtId="164" fontId="15" fillId="0" borderId="25" xfId="0" applyNumberFormat="1" applyFont="1" applyFill="1" applyBorder="1"/>
    <xf numFmtId="164" fontId="15" fillId="0" borderId="26" xfId="0" applyNumberFormat="1" applyFont="1" applyFill="1" applyBorder="1"/>
    <xf numFmtId="164" fontId="15" fillId="0" borderId="34" xfId="0" applyNumberFormat="1" applyFont="1" applyFill="1" applyBorder="1"/>
    <xf numFmtId="164" fontId="15" fillId="0" borderId="13" xfId="0" applyNumberFormat="1" applyFont="1" applyFill="1" applyBorder="1"/>
    <xf numFmtId="164" fontId="15" fillId="0" borderId="10" xfId="0" applyNumberFormat="1" applyFont="1" applyFill="1" applyBorder="1"/>
    <xf numFmtId="164" fontId="15" fillId="0" borderId="9" xfId="0" applyNumberFormat="1" applyFont="1" applyFill="1" applyBorder="1"/>
    <xf numFmtId="4" fontId="7" fillId="0" borderId="0" xfId="11" applyNumberFormat="1" applyFont="1" applyFill="1" applyAlignment="1">
      <alignment horizontal="right"/>
    </xf>
    <xf numFmtId="166" fontId="7" fillId="0" borderId="0" xfId="0" applyNumberFormat="1" applyFont="1" applyFill="1"/>
    <xf numFmtId="166" fontId="9" fillId="0" borderId="0" xfId="0" applyNumberFormat="1" applyFont="1" applyFill="1"/>
    <xf numFmtId="166" fontId="11" fillId="0" borderId="0" xfId="0" applyNumberFormat="1" applyFont="1" applyFill="1"/>
    <xf numFmtId="164" fontId="11" fillId="0" borderId="60" xfId="11" applyNumberFormat="1" applyFont="1" applyFill="1" applyBorder="1" applyAlignment="1">
      <alignment horizontal="center" vertical="center"/>
    </xf>
    <xf numFmtId="164" fontId="11" fillId="0" borderId="8" xfId="11" applyNumberFormat="1" applyFont="1" applyFill="1" applyBorder="1" applyAlignment="1">
      <alignment horizontal="center" vertical="center" wrapText="1"/>
    </xf>
    <xf numFmtId="164" fontId="11" fillId="0" borderId="30" xfId="11" applyNumberFormat="1" applyFont="1" applyFill="1" applyBorder="1" applyAlignment="1">
      <alignment horizontal="center" vertical="center" wrapText="1"/>
    </xf>
    <xf numFmtId="0" fontId="12" fillId="0" borderId="48" xfId="11" applyFont="1" applyFill="1" applyBorder="1" applyAlignment="1">
      <alignment horizontal="center" vertical="center"/>
    </xf>
    <xf numFmtId="164" fontId="12" fillId="0" borderId="48" xfId="11" applyNumberFormat="1" applyFont="1" applyFill="1" applyBorder="1" applyAlignment="1">
      <alignment horizontal="center" vertical="center"/>
    </xf>
    <xf numFmtId="164" fontId="11" fillId="0" borderId="21" xfId="11" applyNumberFormat="1" applyFont="1" applyFill="1" applyBorder="1" applyAlignment="1">
      <alignment horizontal="center" vertical="center" wrapText="1"/>
    </xf>
    <xf numFmtId="0" fontId="11" fillId="0" borderId="55" xfId="11" applyFont="1" applyFill="1" applyBorder="1" applyAlignment="1">
      <alignment horizontal="left"/>
    </xf>
    <xf numFmtId="164" fontId="11" fillId="0" borderId="55" xfId="11" applyNumberFormat="1" applyFont="1" applyFill="1" applyBorder="1" applyAlignment="1"/>
    <xf numFmtId="164" fontId="11" fillId="0" borderId="8" xfId="11" applyNumberFormat="1" applyFont="1" applyFill="1" applyBorder="1" applyAlignment="1"/>
    <xf numFmtId="164" fontId="11" fillId="0" borderId="30" xfId="11" applyNumberFormat="1" applyFont="1" applyFill="1" applyBorder="1" applyAlignment="1"/>
    <xf numFmtId="0" fontId="12" fillId="0" borderId="49" xfId="11" applyFont="1" applyFill="1" applyBorder="1" applyAlignment="1">
      <alignment horizontal="left" indent="1"/>
    </xf>
    <xf numFmtId="164" fontId="12" fillId="0" borderId="56" xfId="11" applyNumberFormat="1" applyFont="1" applyFill="1" applyBorder="1" applyAlignment="1"/>
    <xf numFmtId="0" fontId="12" fillId="0" borderId="22" xfId="11" applyFont="1" applyFill="1" applyBorder="1" applyAlignment="1">
      <alignment horizontal="left" indent="1"/>
    </xf>
    <xf numFmtId="0" fontId="12" fillId="0" borderId="57" xfId="11" applyFont="1" applyFill="1" applyBorder="1" applyAlignment="1">
      <alignment horizontal="left" indent="1"/>
    </xf>
    <xf numFmtId="164" fontId="12" fillId="0" borderId="57" xfId="11" applyNumberFormat="1" applyFont="1" applyFill="1" applyBorder="1" applyAlignment="1"/>
    <xf numFmtId="164" fontId="12" fillId="0" borderId="3" xfId="11" applyNumberFormat="1" applyFont="1" applyFill="1" applyBorder="1" applyAlignment="1"/>
    <xf numFmtId="164" fontId="11" fillId="0" borderId="47" xfId="11" applyNumberFormat="1" applyFont="1" applyFill="1" applyBorder="1" applyAlignment="1"/>
    <xf numFmtId="164" fontId="11" fillId="0" borderId="10" xfId="11" applyNumberFormat="1" applyFont="1" applyFill="1" applyBorder="1" applyAlignment="1"/>
    <xf numFmtId="164" fontId="11" fillId="0" borderId="9" xfId="11" applyNumberFormat="1" applyFont="1" applyFill="1" applyBorder="1" applyAlignment="1"/>
    <xf numFmtId="164" fontId="11" fillId="0" borderId="34" xfId="11" applyNumberFormat="1" applyFont="1" applyFill="1" applyBorder="1" applyAlignment="1"/>
    <xf numFmtId="0" fontId="12" fillId="0" borderId="55" xfId="11" applyFont="1" applyFill="1" applyBorder="1" applyAlignment="1">
      <alignment horizontal="left"/>
    </xf>
    <xf numFmtId="164" fontId="12" fillId="0" borderId="55" xfId="11" applyNumberFormat="1" applyFont="1" applyFill="1" applyBorder="1" applyAlignment="1"/>
    <xf numFmtId="164" fontId="12" fillId="0" borderId="16" xfId="11" applyNumberFormat="1" applyFont="1" applyFill="1" applyBorder="1" applyAlignment="1"/>
    <xf numFmtId="164" fontId="12" fillId="0" borderId="8" xfId="11" applyNumberFormat="1" applyFont="1" applyFill="1" applyBorder="1" applyAlignment="1"/>
    <xf numFmtId="0" fontId="11" fillId="0" borderId="47" xfId="11" applyFont="1" applyFill="1" applyBorder="1"/>
    <xf numFmtId="164" fontId="11" fillId="0" borderId="58" xfId="11" applyNumberFormat="1" applyFont="1" applyFill="1" applyBorder="1" applyAlignment="1"/>
    <xf numFmtId="4" fontId="12" fillId="0" borderId="48" xfId="11" applyNumberFormat="1" applyFont="1" applyFill="1" applyBorder="1" applyAlignment="1">
      <alignment horizontal="center" vertical="center"/>
    </xf>
    <xf numFmtId="4" fontId="11" fillId="0" borderId="21" xfId="11" applyNumberFormat="1" applyFont="1" applyFill="1" applyBorder="1" applyAlignment="1">
      <alignment horizontal="center" vertical="center" wrapText="1"/>
    </xf>
    <xf numFmtId="0" fontId="12" fillId="0" borderId="55" xfId="11" applyFont="1" applyFill="1" applyBorder="1" applyAlignment="1">
      <alignment horizontal="left" indent="1"/>
    </xf>
    <xf numFmtId="0" fontId="12" fillId="0" borderId="59" xfId="11" applyFont="1" applyFill="1" applyBorder="1" applyAlignment="1">
      <alignment horizontal="left" indent="1"/>
    </xf>
    <xf numFmtId="164" fontId="12" fillId="0" borderId="59" xfId="11" applyNumberFormat="1" applyFont="1" applyFill="1" applyBorder="1" applyAlignment="1"/>
    <xf numFmtId="164" fontId="12" fillId="0" borderId="14" xfId="11" applyNumberFormat="1" applyFont="1" applyFill="1" applyBorder="1" applyAlignment="1"/>
    <xf numFmtId="0" fontId="11" fillId="0" borderId="47" xfId="0" applyFont="1" applyFill="1" applyBorder="1"/>
    <xf numFmtId="166" fontId="11" fillId="0" borderId="34" xfId="0" applyNumberFormat="1" applyFont="1" applyFill="1" applyBorder="1"/>
    <xf numFmtId="166" fontId="11" fillId="0" borderId="41" xfId="0" applyNumberFormat="1" applyFont="1" applyFill="1" applyBorder="1"/>
    <xf numFmtId="166" fontId="11" fillId="0" borderId="10" xfId="0" applyNumberFormat="1" applyFont="1" applyFill="1" applyBorder="1"/>
    <xf numFmtId="3" fontId="12" fillId="0" borderId="74" xfId="11" applyNumberFormat="1" applyFont="1" applyFill="1" applyBorder="1" applyAlignment="1">
      <alignment wrapText="1"/>
    </xf>
    <xf numFmtId="3" fontId="12" fillId="0" borderId="68" xfId="11" applyNumberFormat="1" applyFont="1" applyBorder="1" applyAlignment="1">
      <alignment wrapText="1"/>
    </xf>
    <xf numFmtId="3" fontId="12" fillId="0" borderId="73" xfId="11" applyNumberFormat="1" applyFont="1" applyFill="1" applyBorder="1" applyAlignment="1">
      <alignment wrapText="1"/>
    </xf>
    <xf numFmtId="3" fontId="12" fillId="0" borderId="72" xfId="11" applyNumberFormat="1" applyFont="1" applyBorder="1" applyAlignment="1">
      <alignment wrapText="1"/>
    </xf>
    <xf numFmtId="3" fontId="12" fillId="0" borderId="61" xfId="33" applyNumberFormat="1" applyFont="1" applyFill="1" applyBorder="1" applyAlignment="1" applyProtection="1">
      <alignment vertical="center"/>
      <protection locked="0"/>
    </xf>
    <xf numFmtId="3" fontId="12" fillId="0" borderId="38" xfId="33" applyNumberFormat="1" applyFont="1" applyFill="1" applyBorder="1" applyAlignment="1" applyProtection="1">
      <alignment vertical="center"/>
      <protection locked="0"/>
    </xf>
    <xf numFmtId="3" fontId="12" fillId="0" borderId="63" xfId="33" applyNumberFormat="1" applyFont="1" applyFill="1" applyBorder="1" applyAlignment="1" applyProtection="1">
      <alignment vertical="center"/>
      <protection locked="0"/>
    </xf>
    <xf numFmtId="3" fontId="12" fillId="0" borderId="25" xfId="33" applyNumberFormat="1" applyFont="1" applyFill="1" applyBorder="1" applyAlignment="1" applyProtection="1">
      <alignment vertical="center"/>
      <protection locked="0"/>
    </xf>
    <xf numFmtId="3" fontId="12" fillId="0" borderId="14" xfId="33" applyNumberFormat="1" applyFont="1" applyFill="1" applyBorder="1" applyAlignment="1" applyProtection="1">
      <alignment vertical="center"/>
      <protection locked="0"/>
    </xf>
    <xf numFmtId="3" fontId="44" fillId="0" borderId="96" xfId="26" applyNumberFormat="1" applyFont="1" applyFill="1" applyBorder="1"/>
    <xf numFmtId="3" fontId="44" fillId="0" borderId="86" xfId="26" applyNumberFormat="1" applyFont="1" applyFill="1" applyBorder="1"/>
    <xf numFmtId="3" fontId="44" fillId="0" borderId="51" xfId="26" applyNumberFormat="1" applyFont="1" applyFill="1" applyBorder="1"/>
    <xf numFmtId="3" fontId="44" fillId="0" borderId="50" xfId="26" applyNumberFormat="1" applyFont="1" applyFill="1" applyBorder="1"/>
    <xf numFmtId="3" fontId="44" fillId="0" borderId="101" xfId="26" applyNumberFormat="1" applyFont="1" applyFill="1" applyBorder="1"/>
    <xf numFmtId="3" fontId="44" fillId="0" borderId="48" xfId="26" applyNumberFormat="1" applyFont="1" applyFill="1" applyBorder="1"/>
    <xf numFmtId="3" fontId="44" fillId="0" borderId="61" xfId="26" applyNumberFormat="1" applyFont="1" applyFill="1" applyBorder="1"/>
    <xf numFmtId="3" fontId="44" fillId="0" borderId="38" xfId="26" applyNumberFormat="1" applyFont="1" applyFill="1" applyBorder="1"/>
    <xf numFmtId="3" fontId="44" fillId="0" borderId="39" xfId="26" applyNumberFormat="1" applyFont="1" applyFill="1" applyBorder="1"/>
    <xf numFmtId="3" fontId="45" fillId="0" borderId="90" xfId="26" applyNumberFormat="1" applyFont="1" applyFill="1" applyBorder="1"/>
    <xf numFmtId="49" fontId="15" fillId="0" borderId="12" xfId="0" applyNumberFormat="1" applyFont="1" applyFill="1" applyBorder="1" applyAlignment="1">
      <alignment horizontal="center" vertical="center" wrapText="1"/>
    </xf>
    <xf numFmtId="3" fontId="44" fillId="0" borderId="49" xfId="26" applyNumberFormat="1" applyFont="1" applyFill="1" applyBorder="1"/>
    <xf numFmtId="3" fontId="44" fillId="0" borderId="62" xfId="26" applyNumberFormat="1" applyFont="1" applyFill="1" applyBorder="1"/>
    <xf numFmtId="3" fontId="44" fillId="0" borderId="2" xfId="26" applyNumberFormat="1" applyFont="1" applyFill="1" applyBorder="1"/>
    <xf numFmtId="3" fontId="44" fillId="0" borderId="18" xfId="26" applyNumberFormat="1" applyFont="1" applyFill="1" applyBorder="1"/>
    <xf numFmtId="3" fontId="45" fillId="0" borderId="94" xfId="26" applyNumberFormat="1" applyFont="1" applyFill="1" applyBorder="1"/>
    <xf numFmtId="3" fontId="46" fillId="0" borderId="62" xfId="26" applyNumberFormat="1" applyFont="1" applyFill="1" applyBorder="1"/>
    <xf numFmtId="3" fontId="46" fillId="0" borderId="2" xfId="26" applyNumberFormat="1" applyFont="1" applyFill="1" applyBorder="1"/>
    <xf numFmtId="3" fontId="46" fillId="0" borderId="18" xfId="26" applyNumberFormat="1" applyFont="1" applyFill="1" applyBorder="1"/>
    <xf numFmtId="3" fontId="47" fillId="0" borderId="94" xfId="26" applyNumberFormat="1" applyFont="1" applyFill="1" applyBorder="1"/>
    <xf numFmtId="3" fontId="44" fillId="0" borderId="92" xfId="26" applyNumberFormat="1" applyFont="1" applyFill="1" applyBorder="1"/>
    <xf numFmtId="3" fontId="45" fillId="0" borderId="99" xfId="26" applyNumberFormat="1" applyFont="1" applyFill="1" applyBorder="1"/>
    <xf numFmtId="3" fontId="45" fillId="0" borderId="28" xfId="26" applyNumberFormat="1" applyFont="1" applyFill="1" applyBorder="1"/>
    <xf numFmtId="3" fontId="45" fillId="0" borderId="29" xfId="26" applyNumberFormat="1" applyFont="1" applyFill="1" applyBorder="1"/>
    <xf numFmtId="3" fontId="45" fillId="0" borderId="93" xfId="26" applyNumberFormat="1" applyFont="1" applyFill="1" applyBorder="1"/>
    <xf numFmtId="0" fontId="12" fillId="0" borderId="0" xfId="26" applyFont="1" applyFill="1"/>
    <xf numFmtId="3" fontId="17" fillId="0" borderId="59" xfId="0" applyNumberFormat="1" applyFont="1" applyFill="1" applyBorder="1"/>
    <xf numFmtId="3" fontId="16" fillId="0" borderId="59" xfId="0" applyNumberFormat="1" applyFont="1" applyFill="1" applyBorder="1"/>
    <xf numFmtId="3" fontId="18" fillId="0" borderId="48" xfId="0" applyNumberFormat="1" applyFont="1" applyFill="1" applyBorder="1"/>
    <xf numFmtId="164" fontId="15" fillId="0" borderId="48" xfId="0" applyNumberFormat="1" applyFont="1" applyFill="1" applyBorder="1"/>
    <xf numFmtId="164" fontId="17" fillId="0" borderId="59" xfId="0" applyNumberFormat="1" applyFont="1" applyFill="1" applyBorder="1"/>
    <xf numFmtId="164" fontId="15" fillId="0" borderId="59" xfId="0" applyNumberFormat="1" applyFont="1" applyFill="1" applyBorder="1"/>
    <xf numFmtId="164" fontId="15" fillId="0" borderId="47" xfId="0" applyNumberFormat="1" applyFont="1" applyFill="1" applyBorder="1"/>
    <xf numFmtId="0" fontId="6" fillId="0" borderId="0" xfId="11" applyFont="1" applyFill="1"/>
    <xf numFmtId="3" fontId="15" fillId="0" borderId="47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/>
    </xf>
    <xf numFmtId="3" fontId="15" fillId="0" borderId="47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96" xfId="0" applyNumberFormat="1" applyFont="1" applyFill="1" applyBorder="1"/>
    <xf numFmtId="3" fontId="15" fillId="0" borderId="50" xfId="0" applyNumberFormat="1" applyFont="1" applyFill="1" applyBorder="1"/>
    <xf numFmtId="3" fontId="15" fillId="0" borderId="97" xfId="0" applyNumberFormat="1" applyFont="1" applyFill="1" applyBorder="1"/>
    <xf numFmtId="3" fontId="15" fillId="0" borderId="47" xfId="0" applyNumberFormat="1" applyFont="1" applyFill="1" applyBorder="1"/>
    <xf numFmtId="3" fontId="15" fillId="0" borderId="12" xfId="0" applyNumberFormat="1" applyFont="1" applyFill="1" applyBorder="1"/>
    <xf numFmtId="3" fontId="16" fillId="0" borderId="55" xfId="0" applyNumberFormat="1" applyFont="1" applyFill="1" applyBorder="1"/>
    <xf numFmtId="3" fontId="16" fillId="0" borderId="95" xfId="0" applyNumberFormat="1" applyFont="1" applyFill="1" applyBorder="1"/>
    <xf numFmtId="3" fontId="17" fillId="0" borderId="49" xfId="0" applyNumberFormat="1" applyFont="1" applyFill="1" applyBorder="1"/>
    <xf numFmtId="3" fontId="16" fillId="0" borderId="49" xfId="0" applyNumberFormat="1" applyFont="1" applyFill="1" applyBorder="1"/>
    <xf numFmtId="3" fontId="16" fillId="0" borderId="94" xfId="0" applyNumberFormat="1" applyFont="1" applyFill="1" applyBorder="1"/>
    <xf numFmtId="3" fontId="16" fillId="0" borderId="88" xfId="0" applyNumberFormat="1" applyFont="1" applyFill="1" applyBorder="1"/>
    <xf numFmtId="3" fontId="17" fillId="0" borderId="88" xfId="0" applyNumberFormat="1" applyFont="1" applyFill="1" applyBorder="1"/>
    <xf numFmtId="3" fontId="15" fillId="0" borderId="101" xfId="0" applyNumberFormat="1" applyFont="1" applyFill="1" applyBorder="1"/>
    <xf numFmtId="3" fontId="16" fillId="0" borderId="48" xfId="0" applyNumberFormat="1" applyFont="1" applyFill="1" applyBorder="1"/>
    <xf numFmtId="3" fontId="16" fillId="0" borderId="90" xfId="0" applyNumberFormat="1" applyFont="1" applyFill="1" applyBorder="1"/>
    <xf numFmtId="3" fontId="15" fillId="0" borderId="92" xfId="0" applyNumberFormat="1" applyFont="1" applyFill="1" applyBorder="1"/>
    <xf numFmtId="3" fontId="15" fillId="0" borderId="93" xfId="0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18" fillId="0" borderId="90" xfId="0" applyNumberFormat="1" applyFont="1" applyFill="1" applyBorder="1"/>
    <xf numFmtId="3" fontId="16" fillId="0" borderId="53" xfId="0" applyNumberFormat="1" applyFont="1" applyFill="1" applyBorder="1"/>
    <xf numFmtId="3" fontId="16" fillId="0" borderId="91" xfId="0" applyNumberFormat="1" applyFont="1" applyFill="1" applyBorder="1"/>
    <xf numFmtId="3" fontId="17" fillId="0" borderId="53" xfId="0" applyNumberFormat="1" applyFont="1" applyFill="1" applyBorder="1"/>
    <xf numFmtId="3" fontId="17" fillId="0" borderId="91" xfId="0" applyNumberFormat="1" applyFont="1" applyFill="1" applyBorder="1"/>
    <xf numFmtId="164" fontId="15" fillId="0" borderId="90" xfId="0" applyNumberFormat="1" applyFont="1" applyFill="1" applyBorder="1"/>
    <xf numFmtId="164" fontId="17" fillId="0" borderId="88" xfId="0" applyNumberFormat="1" applyFont="1" applyFill="1" applyBorder="1"/>
    <xf numFmtId="164" fontId="15" fillId="0" borderId="88" xfId="0" applyNumberFormat="1" applyFont="1" applyFill="1" applyBorder="1"/>
    <xf numFmtId="164" fontId="15" fillId="0" borderId="12" xfId="0" applyNumberFormat="1" applyFont="1" applyFill="1" applyBorder="1"/>
    <xf numFmtId="0" fontId="11" fillId="0" borderId="46" xfId="11" applyFont="1" applyBorder="1" applyAlignment="1">
      <alignment vertical="center" wrapText="1"/>
    </xf>
    <xf numFmtId="3" fontId="12" fillId="0" borderId="22" xfId="11" applyNumberFormat="1" applyFont="1" applyBorder="1" applyAlignment="1" applyProtection="1">
      <alignment vertical="center"/>
      <protection locked="0"/>
    </xf>
    <xf numFmtId="3" fontId="12" fillId="0" borderId="24" xfId="11" applyNumberFormat="1" applyFont="1" applyBorder="1" applyAlignment="1" applyProtection="1">
      <alignment vertical="center"/>
      <protection locked="0"/>
    </xf>
    <xf numFmtId="0" fontId="11" fillId="0" borderId="46" xfId="11" applyFont="1" applyBorder="1" applyAlignment="1">
      <alignment horizontal="center" vertical="center" wrapText="1"/>
    </xf>
    <xf numFmtId="3" fontId="12" fillId="0" borderId="30" xfId="11" applyNumberFormat="1" applyFont="1" applyBorder="1" applyAlignment="1" applyProtection="1">
      <alignment vertical="center"/>
      <protection locked="0"/>
    </xf>
    <xf numFmtId="3" fontId="12" fillId="0" borderId="60" xfId="11" applyNumberFormat="1" applyFont="1" applyFill="1" applyBorder="1" applyAlignment="1">
      <alignment vertical="center" wrapText="1"/>
    </xf>
    <xf numFmtId="3" fontId="12" fillId="0" borderId="16" xfId="11" applyNumberFormat="1" applyFont="1" applyFill="1" applyBorder="1" applyAlignment="1">
      <alignment vertical="center" wrapText="1"/>
    </xf>
    <xf numFmtId="3" fontId="12" fillId="0" borderId="17" xfId="11" applyNumberFormat="1" applyFont="1" applyFill="1" applyBorder="1" applyAlignment="1">
      <alignment vertical="center" wrapText="1"/>
    </xf>
    <xf numFmtId="3" fontId="12" fillId="0" borderId="62" xfId="11" applyNumberFormat="1" applyFont="1" applyFill="1" applyBorder="1" applyAlignment="1">
      <alignment vertical="center" wrapText="1"/>
    </xf>
    <xf numFmtId="3" fontId="12" fillId="0" borderId="2" xfId="11" applyNumberFormat="1" applyFont="1" applyFill="1" applyBorder="1" applyAlignment="1">
      <alignment vertical="center" wrapText="1"/>
    </xf>
    <xf numFmtId="3" fontId="12" fillId="0" borderId="18" xfId="11" applyNumberFormat="1" applyFont="1" applyFill="1" applyBorder="1" applyAlignment="1">
      <alignment vertical="center" wrapText="1"/>
    </xf>
    <xf numFmtId="3" fontId="12" fillId="0" borderId="61" xfId="11" applyNumberFormat="1" applyFont="1" applyFill="1" applyBorder="1" applyAlignment="1">
      <alignment vertical="center" wrapText="1"/>
    </xf>
    <xf numFmtId="3" fontId="12" fillId="0" borderId="38" xfId="11" applyNumberFormat="1" applyFont="1" applyFill="1" applyBorder="1" applyAlignment="1">
      <alignment vertical="center" wrapText="1"/>
    </xf>
    <xf numFmtId="3" fontId="12" fillId="0" borderId="39" xfId="11" applyNumberFormat="1" applyFont="1" applyFill="1" applyBorder="1" applyAlignment="1">
      <alignment vertical="center" wrapText="1"/>
    </xf>
    <xf numFmtId="3" fontId="12" fillId="0" borderId="55" xfId="11" applyNumberFormat="1" applyFont="1" applyFill="1" applyBorder="1" applyAlignment="1">
      <alignment vertical="center" wrapText="1"/>
    </xf>
    <xf numFmtId="3" fontId="12" fillId="0" borderId="2" xfId="11" applyNumberFormat="1" applyFont="1" applyFill="1" applyBorder="1" applyAlignment="1">
      <alignment wrapText="1"/>
    </xf>
    <xf numFmtId="3" fontId="12" fillId="0" borderId="18" xfId="11" applyNumberFormat="1" applyFont="1" applyFill="1" applyBorder="1" applyAlignment="1">
      <alignment wrapText="1"/>
    </xf>
    <xf numFmtId="3" fontId="12" fillId="0" borderId="25" xfId="11" applyNumberFormat="1" applyFont="1" applyFill="1" applyBorder="1" applyAlignment="1">
      <alignment vertical="center" wrapText="1"/>
    </xf>
    <xf numFmtId="3" fontId="12" fillId="0" borderId="62" xfId="11" applyNumberFormat="1" applyFont="1" applyFill="1" applyBorder="1" applyAlignment="1">
      <alignment wrapText="1"/>
    </xf>
    <xf numFmtId="3" fontId="12" fillId="0" borderId="63" xfId="11" applyNumberFormat="1" applyFont="1" applyFill="1" applyBorder="1" applyAlignment="1">
      <alignment vertical="center" wrapText="1"/>
    </xf>
    <xf numFmtId="0" fontId="12" fillId="0" borderId="55" xfId="11" applyNumberFormat="1" applyFont="1" applyFill="1" applyBorder="1" applyAlignment="1">
      <alignment horizontal="center" vertical="center" wrapText="1"/>
    </xf>
    <xf numFmtId="0" fontId="12" fillId="0" borderId="54" xfId="11" applyNumberFormat="1" applyFont="1" applyFill="1" applyBorder="1" applyAlignment="1">
      <alignment horizontal="center" vertical="center" wrapText="1"/>
    </xf>
    <xf numFmtId="0" fontId="12" fillId="0" borderId="60" xfId="11" applyNumberFormat="1" applyFont="1" applyFill="1" applyBorder="1" applyAlignment="1">
      <alignment horizontal="center" vertical="center" wrapText="1"/>
    </xf>
    <xf numFmtId="0" fontId="12" fillId="0" borderId="55" xfId="11" applyNumberFormat="1" applyFont="1" applyFill="1" applyBorder="1" applyAlignment="1">
      <alignment horizontal="center"/>
    </xf>
    <xf numFmtId="0" fontId="12" fillId="0" borderId="49" xfId="11" applyNumberFormat="1" applyFont="1" applyFill="1" applyBorder="1" applyAlignment="1">
      <alignment horizontal="center"/>
    </xf>
    <xf numFmtId="0" fontId="12" fillId="0" borderId="62" xfId="11" applyNumberFormat="1" applyFont="1" applyFill="1" applyBorder="1" applyAlignment="1">
      <alignment horizontal="center" vertical="center" wrapText="1"/>
    </xf>
    <xf numFmtId="0" fontId="12" fillId="0" borderId="63" xfId="11" applyNumberFormat="1" applyFont="1" applyFill="1" applyBorder="1" applyAlignment="1">
      <alignment horizontal="center" vertical="center" wrapText="1"/>
    </xf>
    <xf numFmtId="0" fontId="12" fillId="0" borderId="59" xfId="11" applyNumberFormat="1" applyFont="1" applyFill="1" applyBorder="1" applyAlignment="1">
      <alignment horizontal="center"/>
    </xf>
    <xf numFmtId="0" fontId="12" fillId="0" borderId="49" xfId="11" applyNumberFormat="1" applyFont="1" applyFill="1" applyBorder="1" applyAlignment="1">
      <alignment horizontal="center" vertical="center" wrapText="1"/>
    </xf>
    <xf numFmtId="0" fontId="12" fillId="0" borderId="17" xfId="11" applyFont="1" applyFill="1" applyBorder="1" applyAlignment="1"/>
    <xf numFmtId="0" fontId="12" fillId="0" borderId="18" xfId="11" applyFont="1" applyFill="1" applyBorder="1" applyAlignment="1">
      <alignment horizontal="justify"/>
    </xf>
    <xf numFmtId="0" fontId="12" fillId="0" borderId="18" xfId="11" applyFont="1" applyFill="1" applyBorder="1"/>
    <xf numFmtId="0" fontId="12" fillId="0" borderId="2" xfId="11" applyFont="1" applyFill="1" applyBorder="1" applyAlignment="1">
      <alignment horizontal="justify"/>
    </xf>
    <xf numFmtId="0" fontId="12" fillId="0" borderId="61" xfId="11" applyNumberFormat="1" applyFont="1" applyFill="1" applyBorder="1" applyAlignment="1">
      <alignment horizontal="center" vertical="center" wrapText="1"/>
    </xf>
    <xf numFmtId="0" fontId="12" fillId="0" borderId="48" xfId="11" applyNumberFormat="1" applyFont="1" applyFill="1" applyBorder="1" applyAlignment="1">
      <alignment horizontal="center"/>
    </xf>
    <xf numFmtId="0" fontId="12" fillId="0" borderId="38" xfId="11" applyFont="1" applyFill="1" applyBorder="1"/>
    <xf numFmtId="0" fontId="12" fillId="0" borderId="17" xfId="11" applyFont="1" applyFill="1" applyBorder="1"/>
    <xf numFmtId="0" fontId="12" fillId="0" borderId="31" xfId="11" applyFont="1" applyFill="1" applyBorder="1" applyAlignment="1">
      <alignment horizontal="justify"/>
    </xf>
    <xf numFmtId="0" fontId="12" fillId="0" borderId="32" xfId="11" applyFont="1" applyFill="1" applyBorder="1"/>
    <xf numFmtId="0" fontId="12" fillId="0" borderId="39" xfId="11" applyFont="1" applyFill="1" applyBorder="1"/>
    <xf numFmtId="3" fontId="12" fillId="0" borderId="0" xfId="11" applyNumberFormat="1" applyFont="1" applyFill="1" applyBorder="1" applyAlignment="1">
      <alignment wrapText="1"/>
    </xf>
    <xf numFmtId="3" fontId="11" fillId="0" borderId="58" xfId="11" applyNumberFormat="1" applyFont="1" applyBorder="1" applyAlignment="1">
      <alignment horizontal="center" vertical="center" wrapText="1"/>
    </xf>
    <xf numFmtId="3" fontId="12" fillId="0" borderId="8" xfId="11" applyNumberFormat="1" applyFont="1" applyBorder="1"/>
    <xf numFmtId="3" fontId="12" fillId="0" borderId="56" xfId="11" applyNumberFormat="1" applyFont="1" applyBorder="1"/>
    <xf numFmtId="3" fontId="6" fillId="0" borderId="56" xfId="11" applyNumberFormat="1" applyFont="1" applyBorder="1"/>
    <xf numFmtId="3" fontId="12" fillId="0" borderId="54" xfId="11" applyNumberFormat="1" applyFont="1" applyBorder="1"/>
    <xf numFmtId="3" fontId="12" fillId="0" borderId="14" xfId="11" applyNumberFormat="1" applyFont="1" applyBorder="1"/>
    <xf numFmtId="3" fontId="12" fillId="0" borderId="3" xfId="11" applyNumberFormat="1" applyFont="1" applyBorder="1"/>
    <xf numFmtId="3" fontId="12" fillId="0" borderId="58" xfId="11" applyNumberFormat="1" applyFont="1" applyBorder="1"/>
    <xf numFmtId="3" fontId="11" fillId="0" borderId="87" xfId="11" applyNumberFormat="1" applyFont="1" applyBorder="1"/>
    <xf numFmtId="3" fontId="11" fillId="0" borderId="87" xfId="11" applyNumberFormat="1" applyFont="1" applyFill="1" applyBorder="1"/>
    <xf numFmtId="3" fontId="11" fillId="2" borderId="87" xfId="11" applyNumberFormat="1" applyFont="1" applyFill="1" applyBorder="1"/>
    <xf numFmtId="3" fontId="11" fillId="2" borderId="14" xfId="11" applyNumberFormat="1" applyFont="1" applyFill="1" applyBorder="1"/>
    <xf numFmtId="3" fontId="21" fillId="0" borderId="0" xfId="11" applyNumberFormat="1" applyFont="1"/>
    <xf numFmtId="0" fontId="38" fillId="0" borderId="0" xfId="11" applyFont="1" applyBorder="1" applyAlignment="1">
      <alignment horizontal="center" vertical="center" wrapText="1"/>
    </xf>
    <xf numFmtId="0" fontId="38" fillId="0" borderId="0" xfId="11" applyFont="1" applyBorder="1" applyAlignment="1">
      <alignment vertical="center" wrapText="1"/>
    </xf>
    <xf numFmtId="0" fontId="37" fillId="0" borderId="0" xfId="11" applyFont="1" applyBorder="1" applyAlignment="1">
      <alignment vertical="center"/>
    </xf>
    <xf numFmtId="0" fontId="64" fillId="0" borderId="0" xfId="11" applyFont="1" applyBorder="1" applyAlignment="1">
      <alignment horizontal="right" vertical="center"/>
    </xf>
    <xf numFmtId="0" fontId="37" fillId="0" borderId="39" xfId="11" applyFont="1" applyBorder="1" applyAlignment="1"/>
    <xf numFmtId="3" fontId="37" fillId="0" borderId="32" xfId="11" applyNumberFormat="1" applyFont="1" applyBorder="1" applyAlignment="1"/>
    <xf numFmtId="3" fontId="15" fillId="0" borderId="2" xfId="11" applyNumberFormat="1" applyFont="1" applyFill="1" applyBorder="1" applyAlignment="1">
      <alignment vertical="top" wrapText="1"/>
    </xf>
    <xf numFmtId="3" fontId="16" fillId="0" borderId="2" xfId="11" applyNumberFormat="1" applyFont="1" applyBorder="1" applyAlignment="1">
      <alignment vertical="top" wrapText="1"/>
    </xf>
    <xf numFmtId="3" fontId="16" fillId="0" borderId="2" xfId="11" applyNumberFormat="1" applyFont="1" applyBorder="1" applyAlignment="1">
      <alignment vertical="top"/>
    </xf>
    <xf numFmtId="3" fontId="16" fillId="0" borderId="2" xfId="11" applyNumberFormat="1" applyFont="1" applyFill="1" applyBorder="1" applyAlignment="1">
      <alignment vertical="top"/>
    </xf>
    <xf numFmtId="0" fontId="11" fillId="2" borderId="47" xfId="11" applyFont="1" applyFill="1" applyBorder="1" applyAlignment="1">
      <alignment vertical="center" wrapText="1"/>
    </xf>
    <xf numFmtId="0" fontId="11" fillId="2" borderId="41" xfId="11" applyFont="1" applyFill="1" applyBorder="1" applyAlignment="1">
      <alignment vertical="center" wrapText="1"/>
    </xf>
    <xf numFmtId="0" fontId="11" fillId="2" borderId="12" xfId="11" applyFont="1" applyFill="1" applyBorder="1" applyAlignment="1">
      <alignment vertical="center" wrapText="1"/>
    </xf>
    <xf numFmtId="168" fontId="52" fillId="0" borderId="49" xfId="11" applyNumberFormat="1" applyFont="1" applyFill="1" applyBorder="1" applyAlignment="1">
      <alignment horizontal="left" vertical="center" wrapText="1" indent="3"/>
    </xf>
    <xf numFmtId="168" fontId="52" fillId="0" borderId="42" xfId="11" applyNumberFormat="1" applyFont="1" applyFill="1" applyBorder="1" applyAlignment="1">
      <alignment horizontal="left" vertical="center" wrapText="1" indent="3"/>
    </xf>
    <xf numFmtId="168" fontId="52" fillId="0" borderId="94" xfId="11" applyNumberFormat="1" applyFont="1" applyFill="1" applyBorder="1" applyAlignment="1">
      <alignment horizontal="left" vertical="center" wrapText="1" indent="3"/>
    </xf>
    <xf numFmtId="0" fontId="11" fillId="0" borderId="47" xfId="11" applyFont="1" applyFill="1" applyBorder="1" applyAlignment="1">
      <alignment vertical="center" wrapText="1"/>
    </xf>
    <xf numFmtId="0" fontId="11" fillId="0" borderId="41" xfId="11" applyFont="1" applyFill="1" applyBorder="1" applyAlignment="1">
      <alignment vertical="center" wrapText="1"/>
    </xf>
    <xf numFmtId="0" fontId="11" fillId="0" borderId="12" xfId="11" applyFont="1" applyFill="1" applyBorder="1" applyAlignment="1">
      <alignment vertical="center" wrapText="1"/>
    </xf>
    <xf numFmtId="168" fontId="52" fillId="0" borderId="55" xfId="11" applyNumberFormat="1" applyFont="1" applyFill="1" applyBorder="1" applyAlignment="1">
      <alignment horizontal="left" vertical="center" wrapText="1" indent="3"/>
    </xf>
    <xf numFmtId="168" fontId="52" fillId="0" borderId="7" xfId="11" applyNumberFormat="1" applyFont="1" applyFill="1" applyBorder="1" applyAlignment="1">
      <alignment horizontal="left" vertical="center" wrapText="1" indent="3"/>
    </xf>
    <xf numFmtId="168" fontId="52" fillId="0" borderId="95" xfId="11" applyNumberFormat="1" applyFont="1" applyFill="1" applyBorder="1" applyAlignment="1">
      <alignment horizontal="left" vertical="center" wrapText="1" indent="3"/>
    </xf>
    <xf numFmtId="0" fontId="11" fillId="0" borderId="47" xfId="11" applyFont="1" applyFill="1" applyBorder="1" applyAlignment="1"/>
    <xf numFmtId="0" fontId="11" fillId="0" borderId="41" xfId="11" applyFont="1" applyFill="1" applyBorder="1" applyAlignment="1"/>
    <xf numFmtId="0" fontId="11" fillId="0" borderId="12" xfId="11" applyFont="1" applyFill="1" applyBorder="1" applyAlignment="1"/>
    <xf numFmtId="0" fontId="11" fillId="2" borderId="47" xfId="11" applyFont="1" applyFill="1" applyBorder="1" applyAlignment="1"/>
    <xf numFmtId="0" fontId="11" fillId="2" borderId="41" xfId="11" applyFont="1" applyFill="1" applyBorder="1" applyAlignment="1"/>
    <xf numFmtId="0" fontId="11" fillId="2" borderId="12" xfId="11" applyFont="1" applyFill="1" applyBorder="1" applyAlignment="1"/>
    <xf numFmtId="3" fontId="11" fillId="0" borderId="33" xfId="11" applyNumberFormat="1" applyFont="1" applyFill="1" applyBorder="1" applyAlignment="1">
      <alignment horizontal="center" vertical="center" wrapText="1"/>
    </xf>
    <xf numFmtId="3" fontId="11" fillId="0" borderId="35" xfId="11" applyNumberFormat="1" applyFont="1" applyFill="1" applyBorder="1" applyAlignment="1">
      <alignment horizontal="center" vertical="center" wrapText="1"/>
    </xf>
    <xf numFmtId="3" fontId="11" fillId="0" borderId="101" xfId="11" applyNumberFormat="1" applyFont="1" applyFill="1" applyBorder="1" applyAlignment="1">
      <alignment horizontal="center" vertical="center" wrapText="1"/>
    </xf>
    <xf numFmtId="3" fontId="11" fillId="0" borderId="93" xfId="11" applyNumberFormat="1" applyFont="1" applyFill="1" applyBorder="1" applyAlignment="1">
      <alignment horizontal="center" vertical="center" wrapText="1"/>
    </xf>
    <xf numFmtId="3" fontId="11" fillId="0" borderId="96" xfId="11" applyNumberFormat="1" applyFont="1" applyFill="1" applyBorder="1" applyAlignment="1">
      <alignment horizontal="left" vertical="center" wrapText="1"/>
    </xf>
    <xf numFmtId="0" fontId="12" fillId="0" borderId="45" xfId="11" applyFont="1" applyBorder="1"/>
    <xf numFmtId="3" fontId="11" fillId="0" borderId="96" xfId="11" applyNumberFormat="1" applyFont="1" applyFill="1" applyBorder="1" applyAlignment="1">
      <alignment vertical="center" wrapText="1"/>
    </xf>
    <xf numFmtId="0" fontId="12" fillId="0" borderId="101" xfId="11" applyFont="1" applyBorder="1"/>
    <xf numFmtId="3" fontId="9" fillId="0" borderId="0" xfId="11" applyNumberFormat="1" applyFont="1" applyFill="1" applyAlignment="1">
      <alignment horizontal="center" vertical="center" wrapText="1"/>
    </xf>
    <xf numFmtId="168" fontId="11" fillId="0" borderId="96" xfId="11" applyNumberFormat="1" applyFont="1" applyFill="1" applyBorder="1" applyAlignment="1">
      <alignment horizontal="center" vertical="center" wrapText="1"/>
    </xf>
    <xf numFmtId="168" fontId="11" fillId="0" borderId="57" xfId="11" applyNumberFormat="1" applyFont="1" applyFill="1" applyBorder="1" applyAlignment="1">
      <alignment horizontal="center" vertical="center" wrapText="1"/>
    </xf>
    <xf numFmtId="168" fontId="11" fillId="0" borderId="92" xfId="11" applyNumberFormat="1" applyFont="1" applyFill="1" applyBorder="1" applyAlignment="1">
      <alignment horizontal="center" vertical="center" wrapText="1"/>
    </xf>
    <xf numFmtId="3" fontId="56" fillId="0" borderId="33" xfId="11" applyNumberFormat="1" applyFont="1" applyFill="1" applyBorder="1" applyAlignment="1">
      <alignment horizontal="center" vertical="center" wrapText="1"/>
    </xf>
    <xf numFmtId="3" fontId="56" fillId="0" borderId="46" xfId="11" applyNumberFormat="1" applyFont="1" applyFill="1" applyBorder="1" applyAlignment="1">
      <alignment horizontal="center" vertical="center" wrapText="1"/>
    </xf>
    <xf numFmtId="3" fontId="56" fillId="0" borderId="35" xfId="11" applyNumberFormat="1" applyFont="1" applyFill="1" applyBorder="1" applyAlignment="1">
      <alignment horizontal="center" vertical="center" wrapText="1"/>
    </xf>
    <xf numFmtId="49" fontId="11" fillId="0" borderId="33" xfId="11" applyNumberFormat="1" applyFont="1" applyFill="1" applyBorder="1" applyAlignment="1">
      <alignment horizontal="center" vertical="center" wrapText="1"/>
    </xf>
    <xf numFmtId="49" fontId="11" fillId="0" borderId="46" xfId="11" applyNumberFormat="1" applyFont="1" applyFill="1" applyBorder="1" applyAlignment="1">
      <alignment horizontal="center" vertical="center" wrapText="1"/>
    </xf>
    <xf numFmtId="49" fontId="11" fillId="0" borderId="35" xfId="11" applyNumberFormat="1" applyFont="1" applyFill="1" applyBorder="1" applyAlignment="1">
      <alignment horizontal="center" vertical="center" wrapText="1"/>
    </xf>
    <xf numFmtId="49" fontId="11" fillId="0" borderId="101" xfId="11" applyNumberFormat="1" applyFont="1" applyFill="1" applyBorder="1" applyAlignment="1">
      <alignment horizontal="center" vertical="center" wrapText="1"/>
    </xf>
    <xf numFmtId="49" fontId="11" fillId="0" borderId="97" xfId="11" applyNumberFormat="1" applyFont="1" applyFill="1" applyBorder="1" applyAlignment="1">
      <alignment horizontal="center" vertical="center" wrapText="1"/>
    </xf>
    <xf numFmtId="49" fontId="11" fillId="0" borderId="93" xfId="11" applyNumberFormat="1" applyFont="1" applyFill="1" applyBorder="1" applyAlignment="1">
      <alignment horizontal="center" vertical="center" wrapText="1"/>
    </xf>
    <xf numFmtId="3" fontId="11" fillId="0" borderId="96" xfId="11" applyNumberFormat="1" applyFont="1" applyFill="1" applyBorder="1" applyAlignment="1">
      <alignment horizontal="center" vertical="center" wrapText="1"/>
    </xf>
    <xf numFmtId="3" fontId="11" fillId="0" borderId="57" xfId="11" applyNumberFormat="1" applyFont="1" applyFill="1" applyBorder="1" applyAlignment="1">
      <alignment horizontal="center" vertical="center" wrapText="1"/>
    </xf>
    <xf numFmtId="3" fontId="11" fillId="0" borderId="92" xfId="11" applyNumberFormat="1" applyFont="1" applyFill="1" applyBorder="1" applyAlignment="1">
      <alignment horizontal="center" vertical="center" wrapText="1"/>
    </xf>
    <xf numFmtId="0" fontId="11" fillId="0" borderId="50" xfId="11" applyFont="1" applyFill="1" applyBorder="1" applyAlignment="1">
      <alignment horizontal="center" vertical="center" wrapText="1"/>
    </xf>
    <xf numFmtId="0" fontId="11" fillId="0" borderId="32" xfId="11" applyFont="1" applyFill="1" applyBorder="1" applyAlignment="1">
      <alignment horizontal="center" vertical="center" wrapText="1"/>
    </xf>
    <xf numFmtId="0" fontId="11" fillId="0" borderId="29" xfId="11" applyFont="1" applyFill="1" applyBorder="1" applyAlignment="1">
      <alignment horizontal="center" vertical="center" wrapText="1"/>
    </xf>
    <xf numFmtId="3" fontId="11" fillId="0" borderId="47" xfId="11" applyNumberFormat="1" applyFont="1" applyFill="1" applyBorder="1" applyAlignment="1">
      <alignment horizontal="center" vertical="center" wrapText="1"/>
    </xf>
    <xf numFmtId="3" fontId="11" fillId="0" borderId="41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47" xfId="11" applyNumberFormat="1" applyFont="1" applyFill="1" applyBorder="1" applyAlignment="1">
      <alignment vertical="center" wrapText="1"/>
    </xf>
    <xf numFmtId="3" fontId="11" fillId="0" borderId="41" xfId="11" applyNumberFormat="1" applyFont="1" applyFill="1" applyBorder="1" applyAlignment="1">
      <alignment vertical="center" wrapText="1"/>
    </xf>
    <xf numFmtId="3" fontId="11" fillId="0" borderId="12" xfId="11" applyNumberFormat="1" applyFont="1" applyFill="1" applyBorder="1" applyAlignment="1">
      <alignment vertical="center" wrapText="1"/>
    </xf>
    <xf numFmtId="0" fontId="34" fillId="0" borderId="0" xfId="32" applyFont="1" applyAlignment="1">
      <alignment horizontal="center"/>
    </xf>
    <xf numFmtId="0" fontId="35" fillId="0" borderId="0" xfId="32" applyFont="1" applyAlignment="1">
      <alignment horizontal="center"/>
    </xf>
    <xf numFmtId="0" fontId="35" fillId="0" borderId="0" xfId="32" applyFont="1" applyAlignment="1">
      <alignment horizontal="left" wrapText="1"/>
    </xf>
    <xf numFmtId="3" fontId="20" fillId="0" borderId="0" xfId="0" applyNumberFormat="1" applyFont="1" applyAlignment="1">
      <alignment horizontal="center"/>
    </xf>
    <xf numFmtId="3" fontId="9" fillId="0" borderId="0" xfId="31" applyNumberFormat="1" applyFont="1" applyFill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86" xfId="0" applyNumberFormat="1" applyFont="1" applyBorder="1" applyAlignment="1">
      <alignment horizontal="center"/>
    </xf>
    <xf numFmtId="3" fontId="15" fillId="0" borderId="51" xfId="0" applyNumberFormat="1" applyFont="1" applyBorder="1" applyAlignment="1">
      <alignment horizontal="center"/>
    </xf>
    <xf numFmtId="3" fontId="15" fillId="0" borderId="50" xfId="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5" fillId="0" borderId="86" xfId="0" applyNumberFormat="1" applyFont="1" applyFill="1" applyBorder="1" applyAlignment="1">
      <alignment horizontal="center"/>
    </xf>
    <xf numFmtId="3" fontId="15" fillId="0" borderId="51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/>
    </xf>
    <xf numFmtId="3" fontId="15" fillId="0" borderId="47" xfId="0" applyNumberFormat="1" applyFont="1" applyFill="1" applyBorder="1" applyAlignment="1">
      <alignment horizontal="center"/>
    </xf>
    <xf numFmtId="3" fontId="15" fillId="0" borderId="41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86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0" fontId="11" fillId="0" borderId="96" xfId="11" applyFont="1" applyFill="1" applyBorder="1" applyAlignment="1">
      <alignment horizontal="center" vertical="center"/>
    </xf>
    <xf numFmtId="0" fontId="11" fillId="0" borderId="57" xfId="11" applyFont="1" applyFill="1" applyBorder="1" applyAlignment="1">
      <alignment horizontal="center" vertical="center"/>
    </xf>
    <xf numFmtId="49" fontId="7" fillId="0" borderId="0" xfId="11" applyNumberFormat="1" applyFont="1" applyFill="1" applyAlignment="1">
      <alignment horizontal="center"/>
    </xf>
    <xf numFmtId="3" fontId="11" fillId="0" borderId="96" xfId="31" applyNumberFormat="1" applyFont="1" applyFill="1" applyBorder="1" applyAlignment="1" applyProtection="1">
      <alignment horizontal="center" vertical="center" wrapText="1"/>
    </xf>
    <xf numFmtId="3" fontId="11" fillId="0" borderId="57" xfId="31" applyNumberFormat="1" applyFont="1" applyFill="1" applyBorder="1" applyAlignment="1" applyProtection="1">
      <alignment horizontal="center" vertical="center" wrapText="1"/>
    </xf>
    <xf numFmtId="4" fontId="11" fillId="0" borderId="11" xfId="11" applyNumberFormat="1" applyFont="1" applyFill="1" applyBorder="1" applyAlignment="1">
      <alignment horizontal="center" vertical="center" wrapText="1"/>
    </xf>
    <xf numFmtId="4" fontId="11" fillId="0" borderId="10" xfId="11" applyNumberFormat="1" applyFont="1" applyFill="1" applyBorder="1" applyAlignment="1">
      <alignment horizontal="center" vertical="center" wrapText="1"/>
    </xf>
    <xf numFmtId="4" fontId="11" fillId="0" borderId="9" xfId="11" applyNumberFormat="1" applyFont="1" applyFill="1" applyBorder="1" applyAlignment="1">
      <alignment horizontal="center" vertical="center" wrapText="1"/>
    </xf>
    <xf numFmtId="49" fontId="9" fillId="0" borderId="0" xfId="11" applyNumberFormat="1" applyFont="1" applyFill="1" applyAlignment="1">
      <alignment horizontal="center"/>
    </xf>
    <xf numFmtId="3" fontId="9" fillId="0" borderId="0" xfId="11" applyNumberFormat="1" applyFont="1" applyFill="1" applyAlignment="1">
      <alignment horizontal="center"/>
    </xf>
    <xf numFmtId="3" fontId="9" fillId="0" borderId="0" xfId="11" applyNumberFormat="1" applyFont="1" applyFill="1" applyAlignment="1" applyProtection="1">
      <alignment horizontal="left"/>
      <protection locked="0"/>
    </xf>
    <xf numFmtId="3" fontId="9" fillId="0" borderId="0" xfId="11" applyNumberFormat="1" applyFont="1" applyFill="1" applyAlignment="1" applyProtection="1">
      <protection locked="0"/>
    </xf>
    <xf numFmtId="3" fontId="9" fillId="0" borderId="0" xfId="11" applyNumberFormat="1" applyFont="1" applyFill="1" applyBorder="1" applyAlignment="1">
      <alignment horizontal="center" vertical="center"/>
    </xf>
    <xf numFmtId="3" fontId="9" fillId="0" borderId="0" xfId="11" applyNumberFormat="1" applyFont="1" applyFill="1" applyAlignment="1" applyProtection="1">
      <alignment horizontal="left" wrapText="1"/>
      <protection locked="0"/>
    </xf>
    <xf numFmtId="0" fontId="12" fillId="0" borderId="0" xfId="11" applyFont="1" applyBorder="1" applyAlignment="1"/>
    <xf numFmtId="0" fontId="12" fillId="0" borderId="0" xfId="11" applyFont="1" applyAlignment="1"/>
    <xf numFmtId="0" fontId="12" fillId="0" borderId="0" xfId="11" applyFont="1" applyAlignment="1">
      <alignment wrapText="1"/>
    </xf>
    <xf numFmtId="165" fontId="9" fillId="0" borderId="0" xfId="31" applyNumberFormat="1" applyFont="1" applyFill="1" applyBorder="1" applyAlignment="1" applyProtection="1">
      <alignment horizontal="left" vertical="center" wrapText="1"/>
    </xf>
    <xf numFmtId="0" fontId="9" fillId="0" borderId="0" xfId="11" applyFont="1" applyAlignment="1">
      <alignment horizontal="center"/>
    </xf>
    <xf numFmtId="0" fontId="12" fillId="0" borderId="61" xfId="11" applyFont="1" applyBorder="1" applyAlignment="1">
      <alignment horizontal="center" vertical="center" wrapText="1"/>
    </xf>
    <xf numFmtId="0" fontId="12" fillId="0" borderId="63" xfId="11" applyFont="1" applyBorder="1" applyAlignment="1">
      <alignment horizontal="center" vertical="center" wrapText="1"/>
    </xf>
    <xf numFmtId="0" fontId="12" fillId="0" borderId="39" xfId="11" applyFont="1" applyBorder="1" applyAlignment="1">
      <alignment horizontal="center" vertical="center" wrapText="1"/>
    </xf>
    <xf numFmtId="0" fontId="12" fillId="0" borderId="14" xfId="11" applyFont="1" applyBorder="1" applyAlignment="1">
      <alignment horizontal="center" vertical="center" wrapText="1"/>
    </xf>
    <xf numFmtId="0" fontId="12" fillId="0" borderId="47" xfId="11" applyFont="1" applyBorder="1" applyAlignment="1">
      <alignment horizontal="center"/>
    </xf>
    <xf numFmtId="0" fontId="12" fillId="0" borderId="41" xfId="11" applyFont="1" applyBorder="1" applyAlignment="1">
      <alignment horizontal="center"/>
    </xf>
    <xf numFmtId="0" fontId="11" fillId="0" borderId="33" xfId="11" applyFont="1" applyBorder="1" applyAlignment="1">
      <alignment horizontal="center" vertical="center"/>
    </xf>
    <xf numFmtId="0" fontId="11" fillId="0" borderId="35" xfId="11" applyFont="1" applyBorder="1" applyAlignment="1">
      <alignment horizontal="center" vertical="center"/>
    </xf>
    <xf numFmtId="3" fontId="11" fillId="0" borderId="47" xfId="11" applyNumberFormat="1" applyFont="1" applyFill="1" applyBorder="1" applyAlignment="1">
      <alignment horizontal="left" vertical="center" wrapText="1" indent="2"/>
    </xf>
    <xf numFmtId="3" fontId="11" fillId="0" borderId="12" xfId="11" applyNumberFormat="1" applyFont="1" applyFill="1" applyBorder="1" applyAlignment="1">
      <alignment horizontal="left" vertical="center" wrapText="1" indent="2"/>
    </xf>
    <xf numFmtId="3" fontId="12" fillId="0" borderId="0" xfId="11" applyNumberFormat="1" applyFont="1" applyFill="1" applyAlignment="1">
      <alignment horizontal="center" vertical="center" wrapText="1"/>
    </xf>
    <xf numFmtId="3" fontId="11" fillId="0" borderId="33" xfId="11" applyNumberFormat="1" applyFont="1" applyFill="1" applyBorder="1" applyAlignment="1">
      <alignment horizontal="center" vertical="center"/>
    </xf>
    <xf numFmtId="3" fontId="11" fillId="0" borderId="35" xfId="11" applyNumberFormat="1" applyFont="1" applyFill="1" applyBorder="1" applyAlignment="1">
      <alignment horizontal="center" vertical="center"/>
    </xf>
    <xf numFmtId="3" fontId="11" fillId="0" borderId="47" xfId="11" applyNumberFormat="1" applyFont="1" applyFill="1" applyBorder="1" applyAlignment="1">
      <alignment horizontal="center" vertical="center"/>
    </xf>
    <xf numFmtId="3" fontId="11" fillId="0" borderId="41" xfId="11" applyNumberFormat="1" applyFont="1" applyFill="1" applyBorder="1" applyAlignment="1">
      <alignment horizontal="center" vertical="center"/>
    </xf>
    <xf numFmtId="3" fontId="11" fillId="0" borderId="12" xfId="11" applyNumberFormat="1" applyFont="1" applyFill="1" applyBorder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3" fontId="9" fillId="0" borderId="0" xfId="33" applyNumberFormat="1" applyFont="1" applyFill="1" applyAlignment="1" applyProtection="1">
      <alignment horizontal="center"/>
    </xf>
    <xf numFmtId="3" fontId="11" fillId="0" borderId="85" xfId="33" applyNumberFormat="1" applyFont="1" applyFill="1" applyBorder="1" applyAlignment="1" applyProtection="1">
      <alignment horizontal="left" vertical="center" indent="1"/>
    </xf>
    <xf numFmtId="3" fontId="11" fillId="0" borderId="41" xfId="33" applyNumberFormat="1" applyFont="1" applyFill="1" applyBorder="1" applyAlignment="1" applyProtection="1">
      <alignment horizontal="left" vertical="center" indent="1"/>
    </xf>
    <xf numFmtId="3" fontId="11" fillId="0" borderId="45" xfId="33" applyNumberFormat="1" applyFont="1" applyFill="1" applyBorder="1" applyAlignment="1" applyProtection="1">
      <alignment horizontal="left" vertical="center" indent="1"/>
    </xf>
    <xf numFmtId="3" fontId="11" fillId="0" borderId="12" xfId="33" applyNumberFormat="1" applyFont="1" applyFill="1" applyBorder="1" applyAlignment="1" applyProtection="1">
      <alignment horizontal="left" vertical="center" indent="1"/>
    </xf>
    <xf numFmtId="3" fontId="11" fillId="0" borderId="0" xfId="33" applyNumberFormat="1" applyFont="1" applyFill="1" applyBorder="1" applyAlignment="1" applyProtection="1">
      <alignment horizontal="left" vertical="center" indent="1"/>
    </xf>
    <xf numFmtId="3" fontId="7" fillId="0" borderId="0" xfId="31" applyNumberFormat="1" applyFont="1" applyFill="1" applyAlignment="1">
      <alignment horizontal="center"/>
    </xf>
    <xf numFmtId="0" fontId="9" fillId="0" borderId="0" xfId="11" applyFont="1" applyFill="1" applyAlignment="1">
      <alignment horizontal="center" vertical="center" wrapText="1"/>
    </xf>
    <xf numFmtId="49" fontId="11" fillId="0" borderId="47" xfId="11" applyNumberFormat="1" applyFont="1" applyFill="1" applyBorder="1" applyAlignment="1">
      <alignment horizontal="center" vertical="center" wrapText="1"/>
    </xf>
    <xf numFmtId="49" fontId="11" fillId="0" borderId="41" xfId="11" applyNumberFormat="1" applyFont="1" applyFill="1" applyBorder="1" applyAlignment="1">
      <alignment horizontal="center" vertical="center" wrapText="1"/>
    </xf>
    <xf numFmtId="49" fontId="11" fillId="0" borderId="12" xfId="11" applyNumberFormat="1" applyFont="1" applyFill="1" applyBorder="1" applyAlignment="1">
      <alignment horizontal="center" vertical="center" wrapText="1"/>
    </xf>
    <xf numFmtId="165" fontId="9" fillId="0" borderId="0" xfId="11" applyNumberFormat="1" applyFont="1" applyFill="1" applyAlignment="1">
      <alignment horizontal="center" vertical="center" wrapText="1"/>
    </xf>
    <xf numFmtId="165" fontId="10" fillId="0" borderId="43" xfId="11" applyNumberFormat="1" applyFont="1" applyFill="1" applyBorder="1" applyAlignment="1" applyProtection="1">
      <alignment horizontal="right" wrapText="1"/>
    </xf>
    <xf numFmtId="0" fontId="9" fillId="0" borderId="0" xfId="11" applyFont="1" applyBorder="1" applyAlignment="1">
      <alignment horizontal="center" wrapText="1"/>
    </xf>
    <xf numFmtId="0" fontId="11" fillId="0" borderId="51" xfId="11" applyFont="1" applyFill="1" applyBorder="1" applyAlignment="1">
      <alignment horizontal="center" vertical="center" wrapText="1"/>
    </xf>
    <xf numFmtId="0" fontId="11" fillId="0" borderId="28" xfId="11" applyFont="1" applyFill="1" applyBorder="1" applyAlignment="1">
      <alignment horizontal="center" vertical="center" wrapText="1"/>
    </xf>
    <xf numFmtId="0" fontId="11" fillId="0" borderId="96" xfId="11" applyNumberFormat="1" applyFont="1" applyFill="1" applyBorder="1" applyAlignment="1">
      <alignment horizontal="center" vertical="center" wrapText="1"/>
    </xf>
    <xf numFmtId="0" fontId="11" fillId="0" borderId="92" xfId="11" applyNumberFormat="1" applyFont="1" applyFill="1" applyBorder="1" applyAlignment="1">
      <alignment horizontal="center" vertical="center" wrapText="1"/>
    </xf>
    <xf numFmtId="0" fontId="11" fillId="0" borderId="86" xfId="11" applyNumberFormat="1" applyFont="1" applyFill="1" applyBorder="1" applyAlignment="1">
      <alignment horizontal="center" vertical="center" wrapText="1"/>
    </xf>
    <xf numFmtId="0" fontId="11" fillId="0" borderId="99" xfId="11" applyNumberFormat="1" applyFont="1" applyFill="1" applyBorder="1" applyAlignment="1">
      <alignment horizontal="center" vertical="center" wrapText="1"/>
    </xf>
    <xf numFmtId="49" fontId="11" fillId="0" borderId="50" xfId="11" applyNumberFormat="1" applyFont="1" applyFill="1" applyBorder="1" applyAlignment="1">
      <alignment horizontal="center" vertical="center" wrapText="1"/>
    </xf>
    <xf numFmtId="49" fontId="11" fillId="0" borderId="29" xfId="11" applyNumberFormat="1" applyFont="1" applyFill="1" applyBorder="1" applyAlignment="1">
      <alignment horizontal="center" vertical="center" wrapText="1"/>
    </xf>
    <xf numFmtId="3" fontId="56" fillId="0" borderId="86" xfId="11" applyNumberFormat="1" applyFont="1" applyFill="1" applyBorder="1" applyAlignment="1">
      <alignment horizontal="center" vertical="center" wrapText="1"/>
    </xf>
    <xf numFmtId="3" fontId="56" fillId="0" borderId="99" xfId="11" applyNumberFormat="1" applyFont="1" applyFill="1" applyBorder="1" applyAlignment="1">
      <alignment horizontal="center" vertical="center" wrapText="1"/>
    </xf>
    <xf numFmtId="3" fontId="9" fillId="0" borderId="0" xfId="11" applyNumberFormat="1" applyFont="1" applyAlignment="1">
      <alignment horizontal="center"/>
    </xf>
    <xf numFmtId="3" fontId="4" fillId="0" borderId="0" xfId="11" applyNumberFormat="1" applyFont="1" applyFill="1" applyAlignment="1" applyProtection="1">
      <alignment horizontal="center"/>
      <protection locked="0"/>
    </xf>
    <xf numFmtId="3" fontId="4" fillId="0" borderId="0" xfId="11" applyNumberFormat="1" applyFont="1" applyFill="1" applyAlignment="1" applyProtection="1">
      <alignment horizontal="left"/>
      <protection locked="0"/>
    </xf>
    <xf numFmtId="0" fontId="38" fillId="0" borderId="61" xfId="11" applyFont="1" applyBorder="1" applyAlignment="1">
      <alignment horizontal="center"/>
    </xf>
    <xf numFmtId="0" fontId="38" fillId="0" borderId="39" xfId="11" applyFont="1" applyBorder="1" applyAlignment="1">
      <alignment horizontal="center"/>
    </xf>
    <xf numFmtId="0" fontId="37" fillId="0" borderId="55" xfId="11" applyFont="1" applyBorder="1" applyAlignment="1">
      <alignment horizontal="left" vertical="center"/>
    </xf>
    <xf numFmtId="0" fontId="37" fillId="0" borderId="7" xfId="11" applyFont="1" applyBorder="1" applyAlignment="1">
      <alignment horizontal="left" vertical="center"/>
    </xf>
    <xf numFmtId="0" fontId="37" fillId="0" borderId="49" xfId="11" applyFont="1" applyBorder="1" applyAlignment="1">
      <alignment horizontal="left" vertical="center"/>
    </xf>
    <xf numFmtId="0" fontId="37" fillId="0" borderId="42" xfId="11" applyFont="1" applyBorder="1" applyAlignment="1">
      <alignment horizontal="left" vertical="center"/>
    </xf>
    <xf numFmtId="0" fontId="38" fillId="0" borderId="0" xfId="11" applyFont="1" applyBorder="1" applyAlignment="1">
      <alignment horizontal="center" vertical="center" wrapText="1"/>
    </xf>
    <xf numFmtId="0" fontId="38" fillId="0" borderId="47" xfId="11" applyFont="1" applyBorder="1" applyAlignment="1">
      <alignment horizontal="center" vertical="center" wrapText="1"/>
    </xf>
    <xf numFmtId="0" fontId="38" fillId="0" borderId="12" xfId="11" applyFont="1" applyBorder="1" applyAlignment="1">
      <alignment horizontal="center" vertical="center" wrapText="1"/>
    </xf>
    <xf numFmtId="0" fontId="38" fillId="0" borderId="47" xfId="11" applyFont="1" applyBorder="1" applyAlignment="1">
      <alignment horizontal="left" vertical="center" wrapText="1"/>
    </xf>
    <xf numFmtId="0" fontId="38" fillId="0" borderId="41" xfId="11" applyFont="1" applyBorder="1" applyAlignment="1">
      <alignment horizontal="left" vertical="center" wrapText="1"/>
    </xf>
    <xf numFmtId="0" fontId="38" fillId="0" borderId="61" xfId="11" applyFont="1" applyBorder="1" applyAlignment="1">
      <alignment horizontal="center" vertical="center"/>
    </xf>
    <xf numFmtId="0" fontId="38" fillId="0" borderId="54" xfId="11" applyFont="1" applyBorder="1" applyAlignment="1">
      <alignment horizontal="center" vertical="center"/>
    </xf>
    <xf numFmtId="0" fontId="38" fillId="0" borderId="89" xfId="11" applyFont="1" applyBorder="1" applyAlignment="1">
      <alignment horizontal="center" vertical="center"/>
    </xf>
    <xf numFmtId="0" fontId="38" fillId="0" borderId="100" xfId="11" applyFont="1" applyBorder="1" applyAlignment="1">
      <alignment horizontal="center" vertical="center"/>
    </xf>
    <xf numFmtId="0" fontId="38" fillId="0" borderId="11" xfId="11" applyFont="1" applyBorder="1" applyAlignment="1">
      <alignment horizontal="left"/>
    </xf>
    <xf numFmtId="0" fontId="38" fillId="0" borderId="58" xfId="11" applyFont="1" applyBorder="1" applyAlignment="1">
      <alignment horizontal="left"/>
    </xf>
    <xf numFmtId="0" fontId="38" fillId="0" borderId="47" xfId="11" applyFont="1" applyBorder="1" applyAlignment="1">
      <alignment horizontal="left" vertical="top" wrapText="1"/>
    </xf>
    <xf numFmtId="0" fontId="38" fillId="0" borderId="41" xfId="11" applyFont="1" applyBorder="1" applyAlignment="1">
      <alignment horizontal="left" vertical="top" wrapText="1"/>
    </xf>
    <xf numFmtId="0" fontId="38" fillId="0" borderId="47" xfId="11" applyFont="1" applyBorder="1" applyAlignment="1">
      <alignment horizontal="left"/>
    </xf>
    <xf numFmtId="0" fontId="37" fillId="0" borderId="41" xfId="11" applyFont="1" applyBorder="1" applyAlignment="1">
      <alignment horizontal="left"/>
    </xf>
    <xf numFmtId="0" fontId="37" fillId="0" borderId="49" xfId="11" applyFont="1" applyBorder="1" applyAlignment="1">
      <alignment horizontal="left"/>
    </xf>
    <xf numFmtId="0" fontId="37" fillId="0" borderId="42" xfId="11" applyFont="1" applyBorder="1" applyAlignment="1">
      <alignment horizontal="left"/>
    </xf>
    <xf numFmtId="0" fontId="37" fillId="0" borderId="53" xfId="11" applyFont="1" applyBorder="1" applyAlignment="1">
      <alignment horizontal="left"/>
    </xf>
    <xf numFmtId="0" fontId="37" fillId="0" borderId="44" xfId="11" applyFont="1" applyBorder="1" applyAlignment="1">
      <alignment horizontal="left"/>
    </xf>
    <xf numFmtId="0" fontId="16" fillId="0" borderId="0" xfId="11" applyNumberFormat="1" applyFont="1" applyAlignment="1">
      <alignment horizontal="left" vertical="top" wrapText="1"/>
    </xf>
    <xf numFmtId="0" fontId="16" fillId="0" borderId="0" xfId="11" applyNumberFormat="1" applyFont="1" applyBorder="1" applyAlignment="1">
      <alignment horizontal="left" vertical="top" wrapText="1"/>
    </xf>
    <xf numFmtId="0" fontId="20" fillId="0" borderId="0" xfId="11" applyNumberFormat="1" applyFont="1" applyAlignment="1">
      <alignment horizontal="center" vertical="top"/>
    </xf>
    <xf numFmtId="0" fontId="16" fillId="0" borderId="0" xfId="11" applyNumberFormat="1" applyFont="1" applyAlignment="1">
      <alignment horizontal="justify" vertical="top" wrapText="1"/>
    </xf>
    <xf numFmtId="0" fontId="16" fillId="0" borderId="0" xfId="11" applyNumberFormat="1" applyFont="1" applyAlignment="1">
      <alignment vertical="top" wrapText="1"/>
    </xf>
    <xf numFmtId="0" fontId="16" fillId="0" borderId="0" xfId="11" applyFont="1" applyAlignment="1">
      <alignment horizontal="justify" vertical="top" wrapText="1"/>
    </xf>
    <xf numFmtId="0" fontId="16" fillId="0" borderId="0" xfId="11" applyNumberFormat="1" applyFont="1" applyAlignment="1">
      <alignment horizontal="center" vertical="top" wrapText="1"/>
    </xf>
    <xf numFmtId="0" fontId="16" fillId="0" borderId="0" xfId="11" applyNumberFormat="1" applyFont="1" applyAlignment="1">
      <alignment horizontal="left" vertical="top"/>
    </xf>
    <xf numFmtId="0" fontId="15" fillId="0" borderId="0" xfId="11" applyFont="1" applyAlignment="1">
      <alignment horizontal="left" vertical="top" wrapText="1"/>
    </xf>
    <xf numFmtId="0" fontId="16" fillId="0" borderId="0" xfId="11" applyFont="1" applyAlignment="1">
      <alignment horizontal="left" vertical="top" wrapText="1"/>
    </xf>
    <xf numFmtId="0" fontId="15" fillId="0" borderId="0" xfId="11" applyFont="1" applyAlignment="1">
      <alignment horizontal="justify" vertical="top" wrapText="1"/>
    </xf>
    <xf numFmtId="0" fontId="16" fillId="0" borderId="0" xfId="11" applyNumberFormat="1" applyFont="1" applyAlignment="1">
      <alignment horizontal="justify" vertical="top"/>
    </xf>
    <xf numFmtId="0" fontId="39" fillId="0" borderId="0" xfId="11" applyNumberFormat="1" applyFont="1" applyAlignment="1">
      <alignment horizontal="left" vertical="top" wrapText="1"/>
    </xf>
    <xf numFmtId="0" fontId="9" fillId="0" borderId="0" xfId="11" applyFont="1" applyAlignment="1">
      <alignment horizontal="center" vertical="center" wrapText="1"/>
    </xf>
    <xf numFmtId="0" fontId="12" fillId="0" borderId="61" xfId="11" applyFont="1" applyBorder="1" applyAlignment="1">
      <alignment horizontal="center" wrapText="1"/>
    </xf>
    <xf numFmtId="0" fontId="12" fillId="0" borderId="63" xfId="11" applyFont="1" applyBorder="1" applyAlignment="1">
      <alignment horizontal="center" wrapText="1"/>
    </xf>
    <xf numFmtId="0" fontId="12" fillId="0" borderId="39" xfId="11" applyFont="1" applyBorder="1" applyAlignment="1">
      <alignment horizontal="center" wrapText="1"/>
    </xf>
    <xf numFmtId="0" fontId="12" fillId="0" borderId="26" xfId="11" applyFont="1" applyBorder="1" applyAlignment="1">
      <alignment horizontal="center" wrapText="1"/>
    </xf>
    <xf numFmtId="0" fontId="12" fillId="0" borderId="61" xfId="11" applyFont="1" applyBorder="1" applyAlignment="1">
      <alignment horizontal="center"/>
    </xf>
    <xf numFmtId="0" fontId="12" fillId="0" borderId="38" xfId="11" applyFont="1" applyBorder="1" applyAlignment="1">
      <alignment horizontal="center"/>
    </xf>
    <xf numFmtId="0" fontId="12" fillId="0" borderId="39" xfId="11" applyFont="1" applyBorder="1" applyAlignment="1">
      <alignment horizontal="center"/>
    </xf>
  </cellXfs>
  <cellStyles count="43">
    <cellStyle name="Ezres 2" xfId="1"/>
    <cellStyle name="Ezres 2 2" xfId="2"/>
    <cellStyle name="Ezres 2 3" xfId="3"/>
    <cellStyle name="Ezres 3" xfId="4"/>
    <cellStyle name="Ezres 4" xfId="5"/>
    <cellStyle name="Hiperhivatkozás" xfId="6"/>
    <cellStyle name="ktsgv" xfId="7"/>
    <cellStyle name="Már látott hiperhivatkozás" xfId="8"/>
    <cellStyle name="Normál" xfId="0" builtinId="0"/>
    <cellStyle name="Normál 10" xfId="9"/>
    <cellStyle name="Normál 2" xfId="10"/>
    <cellStyle name="Normál 2 2" xfId="11"/>
    <cellStyle name="Normál 2 3" xfId="12"/>
    <cellStyle name="Normál 2 4" xfId="13"/>
    <cellStyle name="Normál 3" xfId="14"/>
    <cellStyle name="Normál 3 2" xfId="15"/>
    <cellStyle name="Normál 4" xfId="16"/>
    <cellStyle name="Normál 4 2" xfId="17"/>
    <cellStyle name="Normál 4 3" xfId="18"/>
    <cellStyle name="Normál 5" xfId="19"/>
    <cellStyle name="Normál 5 2" xfId="20"/>
    <cellStyle name="Normál 6" xfId="21"/>
    <cellStyle name="Normál 6 2" xfId="22"/>
    <cellStyle name="Normál 7" xfId="23"/>
    <cellStyle name="Normál 8" xfId="24"/>
    <cellStyle name="Normál 9" xfId="25"/>
    <cellStyle name="Normál_adótelj_terv04" xfId="26"/>
    <cellStyle name="Normal_KARSZJ3" xfId="27"/>
    <cellStyle name="Normál_ktgv2008_másodikforduló" xfId="28"/>
    <cellStyle name="Normal_KTRSZJ" xfId="29"/>
    <cellStyle name="Normál_kv05első" xfId="30"/>
    <cellStyle name="Normál_KVRENMUNKA" xfId="31"/>
    <cellStyle name="Normál_Munkafüzet1" xfId="32"/>
    <cellStyle name="Normál_SEGEDLETEK" xfId="33"/>
    <cellStyle name="Normál12" xfId="34"/>
    <cellStyle name="SIMA" xfId="35"/>
    <cellStyle name="Százalék" xfId="36" builtinId="5"/>
    <cellStyle name="Százalék 2" xfId="37"/>
    <cellStyle name="Százalék 2 2" xfId="38"/>
    <cellStyle name="Százalék 2 3" xfId="39"/>
    <cellStyle name="Százalék 2 4" xfId="40"/>
    <cellStyle name="Százalék 3" xfId="41"/>
    <cellStyle name="Százalék 4" xfId="42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208"/>
  <sheetViews>
    <sheetView tabSelected="1" topLeftCell="A7" zoomScaleNormal="100" workbookViewId="0">
      <pane xSplit="6" ySplit="1" topLeftCell="G179" activePane="bottomRight" state="frozen"/>
      <selection activeCell="A7" sqref="A7"/>
      <selection pane="topRight" activeCell="G7" sqref="G7"/>
      <selection pane="bottomLeft" activeCell="A8" sqref="A8"/>
      <selection pane="bottomRight" activeCell="I200" sqref="I200"/>
    </sheetView>
  </sheetViews>
  <sheetFormatPr defaultColWidth="10.5703125" defaultRowHeight="12"/>
  <cols>
    <col min="1" max="1" width="5.42578125" style="589" bestFit="1" customWidth="1"/>
    <col min="2" max="2" width="3.7109375" style="881" hidden="1" customWidth="1"/>
    <col min="3" max="3" width="7.85546875" style="1016" customWidth="1"/>
    <col min="4" max="4" width="78.42578125" style="520" customWidth="1"/>
    <col min="5" max="5" width="10.5703125" style="306" customWidth="1"/>
    <col min="6" max="6" width="65.28515625" style="306" customWidth="1"/>
    <col min="7" max="7" width="10.85546875" style="521" customWidth="1"/>
    <col min="8" max="8" width="10.85546875" style="522" customWidth="1"/>
    <col min="9" max="9" width="10.85546875" style="306" customWidth="1"/>
    <col min="10" max="10" width="11.42578125" style="306" customWidth="1"/>
    <col min="11" max="11" width="10.85546875" style="306" customWidth="1"/>
    <col min="12" max="12" width="11.28515625" style="306" customWidth="1"/>
    <col min="13" max="13" width="11.7109375" style="521" customWidth="1"/>
    <col min="14" max="14" width="10.85546875" style="521" customWidth="1"/>
    <col min="15" max="16" width="10.85546875" style="306" customWidth="1"/>
    <col min="17" max="17" width="11.28515625" style="306" customWidth="1"/>
    <col min="18" max="18" width="10.85546875" style="521" customWidth="1"/>
    <col min="19" max="20" width="10.85546875" style="306" customWidth="1"/>
    <col min="21" max="25" width="10.5703125" style="306"/>
    <col min="26" max="26" width="10.85546875" style="521" customWidth="1"/>
    <col min="27" max="30" width="10.5703125" style="306"/>
    <col min="31" max="31" width="10.85546875" style="521" customWidth="1"/>
    <col min="32" max="32" width="0" style="306" hidden="1" customWidth="1"/>
    <col min="33" max="16384" width="10.5703125" style="306"/>
  </cols>
  <sheetData>
    <row r="1" spans="1:34" s="304" customFormat="1" ht="15.75">
      <c r="A1" s="588"/>
      <c r="B1" s="880"/>
      <c r="C1" s="1015"/>
      <c r="D1" s="581"/>
      <c r="G1" s="514"/>
      <c r="H1" s="582"/>
      <c r="M1" s="514"/>
      <c r="N1" s="514"/>
      <c r="R1" s="514"/>
      <c r="S1" s="179"/>
      <c r="T1" s="179"/>
      <c r="Z1" s="514"/>
      <c r="AE1" s="514"/>
    </row>
    <row r="2" spans="1:34" s="304" customFormat="1" ht="15.75" customHeight="1">
      <c r="A2" s="1405" t="s">
        <v>1507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  <c r="S2" s="1405"/>
      <c r="T2" s="1405"/>
      <c r="U2" s="1405"/>
      <c r="V2" s="1405"/>
      <c r="W2" s="1405"/>
      <c r="X2" s="1405"/>
      <c r="Y2" s="1405"/>
      <c r="Z2" s="1405"/>
      <c r="AA2" s="1405"/>
      <c r="AB2" s="1405"/>
      <c r="AC2" s="1405"/>
      <c r="AD2" s="1405"/>
      <c r="AE2" s="1405"/>
      <c r="AF2" s="514"/>
      <c r="AG2" s="514"/>
      <c r="AH2" s="514"/>
    </row>
    <row r="3" spans="1:34" s="304" customFormat="1" ht="15.75" customHeight="1">
      <c r="A3" s="1405" t="s">
        <v>777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</row>
    <row r="4" spans="1:34" ht="12.75" thickBot="1">
      <c r="L4" s="234"/>
      <c r="S4" s="523"/>
      <c r="T4" s="523"/>
      <c r="AE4" s="234" t="s">
        <v>458</v>
      </c>
    </row>
    <row r="5" spans="1:34" ht="13.5" customHeight="1" thickBot="1">
      <c r="A5" s="1406" t="s">
        <v>17</v>
      </c>
      <c r="B5" s="1409" t="s">
        <v>1056</v>
      </c>
      <c r="C5" s="1412" t="s">
        <v>770</v>
      </c>
      <c r="D5" s="1415" t="s">
        <v>769</v>
      </c>
      <c r="E5" s="1418" t="s">
        <v>753</v>
      </c>
      <c r="F5" s="1421" t="s">
        <v>1508</v>
      </c>
      <c r="G5" s="1424" t="s">
        <v>48</v>
      </c>
      <c r="H5" s="1425"/>
      <c r="I5" s="1425"/>
      <c r="J5" s="1425"/>
      <c r="K5" s="1425"/>
      <c r="L5" s="1425"/>
      <c r="M5" s="1425"/>
      <c r="N5" s="1425"/>
      <c r="O5" s="1425"/>
      <c r="P5" s="1425"/>
      <c r="Q5" s="1425"/>
      <c r="R5" s="1426"/>
      <c r="S5" s="1424" t="s">
        <v>80</v>
      </c>
      <c r="T5" s="1425"/>
      <c r="U5" s="1425"/>
      <c r="V5" s="1425"/>
      <c r="W5" s="1425"/>
      <c r="X5" s="1425"/>
      <c r="Y5" s="1425"/>
      <c r="Z5" s="1425"/>
      <c r="AA5" s="1425"/>
      <c r="AB5" s="1425"/>
      <c r="AC5" s="1425"/>
      <c r="AD5" s="1425"/>
      <c r="AE5" s="1426"/>
    </row>
    <row r="6" spans="1:34" s="525" customFormat="1" ht="12.75" customHeight="1" thickBot="1">
      <c r="A6" s="1407"/>
      <c r="B6" s="1410"/>
      <c r="C6" s="1413"/>
      <c r="D6" s="1416"/>
      <c r="E6" s="1419"/>
      <c r="F6" s="1422"/>
      <c r="G6" s="1399" t="s">
        <v>1317</v>
      </c>
      <c r="H6" s="1397" t="s">
        <v>1345</v>
      </c>
      <c r="I6" s="1401" t="s">
        <v>754</v>
      </c>
      <c r="J6" s="1402"/>
      <c r="K6" s="1402"/>
      <c r="L6" s="1402"/>
      <c r="M6" s="1397" t="s">
        <v>1529</v>
      </c>
      <c r="N6" s="1397" t="s">
        <v>1346</v>
      </c>
      <c r="O6" s="1403" t="s">
        <v>754</v>
      </c>
      <c r="P6" s="1402"/>
      <c r="Q6" s="1404"/>
      <c r="R6" s="1397" t="s">
        <v>1530</v>
      </c>
      <c r="S6" s="1397" t="s">
        <v>1317</v>
      </c>
      <c r="T6" s="1397" t="s">
        <v>1345</v>
      </c>
      <c r="U6" s="1427" t="s">
        <v>754</v>
      </c>
      <c r="V6" s="1428"/>
      <c r="W6" s="1428"/>
      <c r="X6" s="1428"/>
      <c r="Y6" s="1429"/>
      <c r="Z6" s="1397" t="s">
        <v>1531</v>
      </c>
      <c r="AA6" s="1397" t="s">
        <v>1346</v>
      </c>
      <c r="AB6" s="1427" t="s">
        <v>754</v>
      </c>
      <c r="AC6" s="1428"/>
      <c r="AD6" s="1429"/>
      <c r="AE6" s="1397" t="s">
        <v>1532</v>
      </c>
    </row>
    <row r="7" spans="1:34" s="525" customFormat="1" ht="72.75" thickBot="1">
      <c r="A7" s="1408"/>
      <c r="B7" s="1411"/>
      <c r="C7" s="1414"/>
      <c r="D7" s="1417"/>
      <c r="E7" s="1420"/>
      <c r="F7" s="1423"/>
      <c r="G7" s="1400"/>
      <c r="H7" s="1398"/>
      <c r="I7" s="303" t="s">
        <v>771</v>
      </c>
      <c r="J7" s="376" t="s">
        <v>526</v>
      </c>
      <c r="K7" s="376" t="s">
        <v>772</v>
      </c>
      <c r="L7" s="301" t="s">
        <v>773</v>
      </c>
      <c r="M7" s="1398"/>
      <c r="N7" s="1398"/>
      <c r="O7" s="303" t="s">
        <v>533</v>
      </c>
      <c r="P7" s="376" t="s">
        <v>534</v>
      </c>
      <c r="Q7" s="375" t="s">
        <v>535</v>
      </c>
      <c r="R7" s="1398"/>
      <c r="S7" s="1398"/>
      <c r="T7" s="1398"/>
      <c r="U7" s="303" t="s">
        <v>46</v>
      </c>
      <c r="V7" s="376" t="s">
        <v>447</v>
      </c>
      <c r="W7" s="376" t="s">
        <v>448</v>
      </c>
      <c r="X7" s="376" t="s">
        <v>774</v>
      </c>
      <c r="Y7" s="375" t="s">
        <v>450</v>
      </c>
      <c r="Z7" s="1398"/>
      <c r="AA7" s="1398"/>
      <c r="AB7" s="303" t="s">
        <v>451</v>
      </c>
      <c r="AC7" s="376" t="s">
        <v>452</v>
      </c>
      <c r="AD7" s="375" t="s">
        <v>453</v>
      </c>
      <c r="AE7" s="1398"/>
    </row>
    <row r="8" spans="1:34" s="525" customFormat="1">
      <c r="A8" s="590">
        <v>1</v>
      </c>
      <c r="B8" s="882">
        <v>1</v>
      </c>
      <c r="C8" s="1017" t="s">
        <v>676</v>
      </c>
      <c r="D8" s="1018" t="s">
        <v>675</v>
      </c>
      <c r="E8" s="173">
        <v>999000</v>
      </c>
      <c r="F8" s="1019" t="s">
        <v>415</v>
      </c>
      <c r="G8" s="518">
        <f>+H8+M8+N8+R8</f>
        <v>0</v>
      </c>
      <c r="H8" s="519">
        <f t="shared" ref="H8:H94" si="0">+I8+J8+K8+L8</f>
        <v>0</v>
      </c>
      <c r="I8" s="818"/>
      <c r="J8" s="819"/>
      <c r="K8" s="819"/>
      <c r="L8" s="1020"/>
      <c r="M8" s="518"/>
      <c r="N8" s="519">
        <f>+O8+P8+Q8</f>
        <v>0</v>
      </c>
      <c r="O8" s="818"/>
      <c r="P8" s="819"/>
      <c r="Q8" s="820"/>
      <c r="R8" s="518"/>
      <c r="S8" s="518">
        <f>+T8+Z8+AA8+AE8</f>
        <v>0</v>
      </c>
      <c r="T8" s="519">
        <f>+U8+V8+W8+X8+Y8</f>
        <v>0</v>
      </c>
      <c r="U8" s="830"/>
      <c r="V8" s="828"/>
      <c r="W8" s="819"/>
      <c r="X8" s="819"/>
      <c r="Y8" s="820"/>
      <c r="Z8" s="518"/>
      <c r="AA8" s="519">
        <f t="shared" ref="AA8:AA62" si="1">+AB8+AC8+AD8</f>
        <v>0</v>
      </c>
      <c r="AB8" s="818"/>
      <c r="AC8" s="819"/>
      <c r="AD8" s="820"/>
      <c r="AE8" s="518"/>
    </row>
    <row r="9" spans="1:34" s="525" customFormat="1">
      <c r="A9" s="590">
        <f>+A8+1</f>
        <v>2</v>
      </c>
      <c r="B9" s="883">
        <v>8</v>
      </c>
      <c r="C9" s="1021" t="s">
        <v>676</v>
      </c>
      <c r="D9" s="1022" t="s">
        <v>675</v>
      </c>
      <c r="E9" s="1023" t="s">
        <v>1265</v>
      </c>
      <c r="F9" s="1024" t="s">
        <v>1010</v>
      </c>
      <c r="G9" s="518">
        <f t="shared" ref="G9:G86" si="2">+H9+M9+N9+R9</f>
        <v>0</v>
      </c>
      <c r="H9" s="519">
        <f t="shared" si="0"/>
        <v>0</v>
      </c>
      <c r="I9" s="818"/>
      <c r="J9" s="819"/>
      <c r="K9" s="819"/>
      <c r="L9" s="1020"/>
      <c r="M9" s="518"/>
      <c r="N9" s="519">
        <f t="shared" ref="N9:N94" si="3">+O9+P9+Q9</f>
        <v>0</v>
      </c>
      <c r="O9" s="818"/>
      <c r="P9" s="819"/>
      <c r="Q9" s="820"/>
      <c r="R9" s="518"/>
      <c r="S9" s="518">
        <f t="shared" ref="S9:S86" si="4">+T9+Z9+AA9+AE9</f>
        <v>0</v>
      </c>
      <c r="T9" s="519">
        <f t="shared" ref="T9:T80" si="5">+U9+V9+W9+X9+Y9</f>
        <v>0</v>
      </c>
      <c r="U9" s="818"/>
      <c r="V9" s="821"/>
      <c r="W9" s="821"/>
      <c r="X9" s="821"/>
      <c r="Y9" s="822"/>
      <c r="Z9" s="518"/>
      <c r="AA9" s="519">
        <f t="shared" si="1"/>
        <v>0</v>
      </c>
      <c r="AB9" s="825"/>
      <c r="AC9" s="821"/>
      <c r="AD9" s="822"/>
      <c r="AE9" s="518"/>
    </row>
    <row r="10" spans="1:34" s="1087" customFormat="1">
      <c r="A10" s="1382" t="str">
        <f>+$E$200&amp;". "&amp;$F$200</f>
        <v>10. ÖNK kiadásainak, bevételeinek felülvizsgálata</v>
      </c>
      <c r="B10" s="1383"/>
      <c r="C10" s="1383"/>
      <c r="D10" s="1383"/>
      <c r="E10" s="1383"/>
      <c r="F10" s="1384"/>
      <c r="G10" s="1080">
        <f>+H10+M10+N10+R10</f>
        <v>1200</v>
      </c>
      <c r="H10" s="1081">
        <f>+I10+J10+K10+L10</f>
        <v>1200</v>
      </c>
      <c r="I10" s="868">
        <v>1200</v>
      </c>
      <c r="J10" s="869"/>
      <c r="K10" s="869"/>
      <c r="L10" s="1082"/>
      <c r="M10" s="1080"/>
      <c r="N10" s="1081">
        <f>+O10+P10+Q10</f>
        <v>0</v>
      </c>
      <c r="O10" s="868"/>
      <c r="P10" s="869"/>
      <c r="Q10" s="870"/>
      <c r="R10" s="1080"/>
      <c r="S10" s="1080">
        <f>+T10+Z10+AA10+AE10</f>
        <v>0</v>
      </c>
      <c r="T10" s="1081">
        <f t="shared" si="5"/>
        <v>0</v>
      </c>
      <c r="U10" s="868"/>
      <c r="V10" s="1083"/>
      <c r="W10" s="1083"/>
      <c r="X10" s="1083"/>
      <c r="Y10" s="1084"/>
      <c r="Z10" s="1080"/>
      <c r="AA10" s="1081">
        <f>+AB10+AC10+AD10</f>
        <v>0</v>
      </c>
      <c r="AB10" s="1085"/>
      <c r="AC10" s="1083"/>
      <c r="AD10" s="1084"/>
      <c r="AE10" s="1080"/>
      <c r="AF10" s="1086">
        <f t="shared" ref="AF10:AF11" si="6">-G10+S10</f>
        <v>-1200</v>
      </c>
    </row>
    <row r="11" spans="1:34" s="1087" customFormat="1">
      <c r="A11" s="1388" t="str">
        <f>+$E$206&amp;". "&amp;$F$206</f>
        <v>16. Maradvány, valamint az általános tartalék és céltartalékok felülviszgálata</v>
      </c>
      <c r="B11" s="1389"/>
      <c r="C11" s="1389"/>
      <c r="D11" s="1389"/>
      <c r="E11" s="1389"/>
      <c r="F11" s="1390"/>
      <c r="G11" s="1080">
        <f t="shared" ref="G11" si="7">+H11+M11+N11+R11</f>
        <v>523464</v>
      </c>
      <c r="H11" s="1081">
        <f t="shared" ref="H11" si="8">+I11+J11+K11+L11</f>
        <v>0</v>
      </c>
      <c r="I11" s="868"/>
      <c r="J11" s="869"/>
      <c r="K11" s="869"/>
      <c r="L11" s="1082"/>
      <c r="M11" s="1080">
        <v>523464</v>
      </c>
      <c r="N11" s="1081">
        <f t="shared" ref="N11" si="9">+O11+P11+Q11</f>
        <v>0</v>
      </c>
      <c r="O11" s="868"/>
      <c r="P11" s="869"/>
      <c r="Q11" s="870"/>
      <c r="R11" s="1080"/>
      <c r="S11" s="1080">
        <f t="shared" ref="S11" si="10">+T11+Z11+AA11+AE11</f>
        <v>512657</v>
      </c>
      <c r="T11" s="1081">
        <f t="shared" si="5"/>
        <v>512657</v>
      </c>
      <c r="U11" s="868"/>
      <c r="V11" s="1088"/>
      <c r="W11" s="1088"/>
      <c r="X11" s="1088"/>
      <c r="Y11" s="1089">
        <f>523464-8000-2000-2000+1000+(50+120+23)</f>
        <v>512657</v>
      </c>
      <c r="Z11" s="1080"/>
      <c r="AA11" s="1081">
        <f t="shared" ref="AA11" si="11">+AB11+AC11+AD11</f>
        <v>0</v>
      </c>
      <c r="AB11" s="1090"/>
      <c r="AC11" s="1088"/>
      <c r="AD11" s="1089"/>
      <c r="AE11" s="1080"/>
      <c r="AF11" s="1086">
        <f t="shared" si="6"/>
        <v>-10807</v>
      </c>
    </row>
    <row r="12" spans="1:34" s="525" customFormat="1">
      <c r="A12" s="590">
        <f>+A9+1</f>
        <v>3</v>
      </c>
      <c r="B12" s="883">
        <v>8</v>
      </c>
      <c r="C12" s="1021" t="s">
        <v>1289</v>
      </c>
      <c r="D12" s="1022" t="s">
        <v>1301</v>
      </c>
      <c r="E12" s="1023" t="s">
        <v>1265</v>
      </c>
      <c r="F12" s="1024" t="s">
        <v>1290</v>
      </c>
      <c r="G12" s="518">
        <f t="shared" si="2"/>
        <v>0</v>
      </c>
      <c r="H12" s="519">
        <f t="shared" si="0"/>
        <v>0</v>
      </c>
      <c r="I12" s="818"/>
      <c r="J12" s="819"/>
      <c r="K12" s="819"/>
      <c r="L12" s="1020"/>
      <c r="M12" s="518"/>
      <c r="N12" s="519">
        <f t="shared" si="3"/>
        <v>0</v>
      </c>
      <c r="O12" s="818"/>
      <c r="P12" s="819"/>
      <c r="Q12" s="820"/>
      <c r="R12" s="518"/>
      <c r="S12" s="518">
        <f t="shared" si="4"/>
        <v>0</v>
      </c>
      <c r="T12" s="519">
        <f t="shared" si="5"/>
        <v>0</v>
      </c>
      <c r="U12" s="818"/>
      <c r="V12" s="821"/>
      <c r="W12" s="821"/>
      <c r="X12" s="821"/>
      <c r="Y12" s="822"/>
      <c r="Z12" s="518"/>
      <c r="AA12" s="519">
        <f t="shared" si="1"/>
        <v>0</v>
      </c>
      <c r="AB12" s="825"/>
      <c r="AC12" s="821"/>
      <c r="AD12" s="822"/>
      <c r="AE12" s="518"/>
    </row>
    <row r="13" spans="1:34" s="529" customFormat="1">
      <c r="A13" s="590">
        <f t="shared" ref="A13:A81" si="12">+A12+1</f>
        <v>4</v>
      </c>
      <c r="B13" s="883">
        <v>8</v>
      </c>
      <c r="C13" s="1021" t="s">
        <v>684</v>
      </c>
      <c r="D13" s="1022" t="s">
        <v>868</v>
      </c>
      <c r="E13" s="1023" t="s">
        <v>1265</v>
      </c>
      <c r="F13" s="1024" t="s">
        <v>683</v>
      </c>
      <c r="G13" s="527">
        <f t="shared" si="2"/>
        <v>0</v>
      </c>
      <c r="H13" s="528">
        <f t="shared" si="0"/>
        <v>0</v>
      </c>
      <c r="I13" s="818"/>
      <c r="J13" s="819"/>
      <c r="K13" s="819"/>
      <c r="L13" s="1020"/>
      <c r="M13" s="527"/>
      <c r="N13" s="528">
        <f t="shared" si="3"/>
        <v>0</v>
      </c>
      <c r="O13" s="818"/>
      <c r="P13" s="819"/>
      <c r="Q13" s="820"/>
      <c r="R13" s="527"/>
      <c r="S13" s="527">
        <f t="shared" si="4"/>
        <v>0</v>
      </c>
      <c r="T13" s="528">
        <f t="shared" si="5"/>
        <v>0</v>
      </c>
      <c r="U13" s="818"/>
      <c r="V13" s="831"/>
      <c r="W13" s="831"/>
      <c r="X13" s="831"/>
      <c r="Y13" s="832"/>
      <c r="Z13" s="527"/>
      <c r="AA13" s="528">
        <f t="shared" si="1"/>
        <v>0</v>
      </c>
      <c r="AB13" s="835"/>
      <c r="AC13" s="831"/>
      <c r="AD13" s="832"/>
      <c r="AE13" s="527"/>
    </row>
    <row r="14" spans="1:34" s="1087" customFormat="1" ht="12" customHeight="1">
      <c r="A14" s="1382" t="str">
        <f>+$E$199&amp;". "&amp;$F$199</f>
        <v>9. Önkormányzati céltámogatások felülvizsgálata</v>
      </c>
      <c r="B14" s="1383"/>
      <c r="C14" s="1383"/>
      <c r="D14" s="1383"/>
      <c r="E14" s="1383"/>
      <c r="F14" s="1384"/>
      <c r="G14" s="1080">
        <f t="shared" si="2"/>
        <v>0</v>
      </c>
      <c r="H14" s="1081">
        <f t="shared" si="0"/>
        <v>0</v>
      </c>
      <c r="I14" s="868"/>
      <c r="J14" s="869"/>
      <c r="K14" s="869"/>
      <c r="L14" s="1082"/>
      <c r="M14" s="1080"/>
      <c r="N14" s="1081">
        <f t="shared" si="3"/>
        <v>0</v>
      </c>
      <c r="O14" s="868"/>
      <c r="P14" s="869"/>
      <c r="Q14" s="870"/>
      <c r="R14" s="1080"/>
      <c r="S14" s="1080">
        <f t="shared" si="4"/>
        <v>-500</v>
      </c>
      <c r="T14" s="1081">
        <f>+U14+V14+W14+X14+Y14</f>
        <v>-500</v>
      </c>
      <c r="U14" s="868"/>
      <c r="V14" s="1088"/>
      <c r="W14" s="1088"/>
      <c r="X14" s="1088"/>
      <c r="Y14" s="1089">
        <v>-500</v>
      </c>
      <c r="Z14" s="1080"/>
      <c r="AA14" s="1081">
        <f t="shared" si="1"/>
        <v>0</v>
      </c>
      <c r="AB14" s="1090"/>
      <c r="AC14" s="1088"/>
      <c r="AD14" s="1089"/>
      <c r="AE14" s="1080"/>
      <c r="AF14" s="1086">
        <f>-G14+S14</f>
        <v>-500</v>
      </c>
    </row>
    <row r="15" spans="1:34" s="525" customFormat="1">
      <c r="A15" s="590">
        <f>+A13+1</f>
        <v>5</v>
      </c>
      <c r="B15" s="883">
        <v>2</v>
      </c>
      <c r="C15" s="1021" t="s">
        <v>678</v>
      </c>
      <c r="D15" s="1022" t="s">
        <v>677</v>
      </c>
      <c r="E15" s="1025" t="s">
        <v>1265</v>
      </c>
      <c r="F15" s="1024" t="s">
        <v>643</v>
      </c>
      <c r="G15" s="530">
        <f t="shared" si="2"/>
        <v>0</v>
      </c>
      <c r="H15" s="531">
        <f>+I15+J15+K15+L15</f>
        <v>0</v>
      </c>
      <c r="I15" s="818"/>
      <c r="J15" s="819"/>
      <c r="K15" s="819"/>
      <c r="L15" s="1020"/>
      <c r="M15" s="530"/>
      <c r="N15" s="531">
        <f>+O15+P15+Q15</f>
        <v>0</v>
      </c>
      <c r="O15" s="818"/>
      <c r="P15" s="819"/>
      <c r="Q15" s="820"/>
      <c r="R15" s="530"/>
      <c r="S15" s="530">
        <f t="shared" si="4"/>
        <v>0</v>
      </c>
      <c r="T15" s="531">
        <f t="shared" si="5"/>
        <v>0</v>
      </c>
      <c r="U15" s="818"/>
      <c r="V15" s="821"/>
      <c r="W15" s="821"/>
      <c r="X15" s="821"/>
      <c r="Y15" s="822"/>
      <c r="Z15" s="530"/>
      <c r="AA15" s="531">
        <f t="shared" si="1"/>
        <v>0</v>
      </c>
      <c r="AB15" s="825"/>
      <c r="AC15" s="821"/>
      <c r="AD15" s="822"/>
      <c r="AE15" s="530"/>
    </row>
    <row r="16" spans="1:34" ht="12.75" customHeight="1">
      <c r="A16" s="590">
        <f t="shared" si="12"/>
        <v>6</v>
      </c>
      <c r="B16" s="883">
        <v>8</v>
      </c>
      <c r="C16" s="1021" t="s">
        <v>729</v>
      </c>
      <c r="D16" s="583" t="s">
        <v>728</v>
      </c>
      <c r="E16" s="1023" t="s">
        <v>1266</v>
      </c>
      <c r="F16" s="1026" t="s">
        <v>728</v>
      </c>
      <c r="G16" s="518">
        <f t="shared" si="2"/>
        <v>0</v>
      </c>
      <c r="H16" s="519">
        <f t="shared" si="0"/>
        <v>0</v>
      </c>
      <c r="I16" s="818"/>
      <c r="J16" s="819"/>
      <c r="K16" s="819"/>
      <c r="L16" s="1020"/>
      <c r="M16" s="518"/>
      <c r="N16" s="519">
        <f t="shared" si="3"/>
        <v>0</v>
      </c>
      <c r="O16" s="818"/>
      <c r="P16" s="819"/>
      <c r="Q16" s="820"/>
      <c r="R16" s="518"/>
      <c r="S16" s="518">
        <f t="shared" si="4"/>
        <v>0</v>
      </c>
      <c r="T16" s="519">
        <f t="shared" si="5"/>
        <v>0</v>
      </c>
      <c r="U16" s="818"/>
      <c r="V16" s="833"/>
      <c r="W16" s="833"/>
      <c r="X16" s="833"/>
      <c r="Y16" s="834"/>
      <c r="Z16" s="518"/>
      <c r="AA16" s="519">
        <f t="shared" si="1"/>
        <v>0</v>
      </c>
      <c r="AB16" s="836"/>
      <c r="AC16" s="833"/>
      <c r="AD16" s="834"/>
      <c r="AE16" s="518"/>
    </row>
    <row r="17" spans="1:32" ht="12.75" customHeight="1">
      <c r="A17" s="590">
        <f t="shared" si="12"/>
        <v>7</v>
      </c>
      <c r="B17" s="883">
        <v>8</v>
      </c>
      <c r="C17" s="1021" t="s">
        <v>713</v>
      </c>
      <c r="D17" s="1022" t="s">
        <v>1071</v>
      </c>
      <c r="E17" s="1025" t="s">
        <v>1267</v>
      </c>
      <c r="F17" s="1027" t="s">
        <v>1073</v>
      </c>
      <c r="G17" s="530">
        <f t="shared" si="2"/>
        <v>0</v>
      </c>
      <c r="H17" s="531">
        <f t="shared" si="0"/>
        <v>0</v>
      </c>
      <c r="I17" s="818"/>
      <c r="J17" s="819"/>
      <c r="K17" s="819"/>
      <c r="L17" s="1020"/>
      <c r="M17" s="530"/>
      <c r="N17" s="531">
        <f t="shared" si="3"/>
        <v>0</v>
      </c>
      <c r="O17" s="818"/>
      <c r="P17" s="819"/>
      <c r="Q17" s="820"/>
      <c r="R17" s="530"/>
      <c r="S17" s="530">
        <f t="shared" si="4"/>
        <v>0</v>
      </c>
      <c r="T17" s="531">
        <f t="shared" si="5"/>
        <v>0</v>
      </c>
      <c r="U17" s="818"/>
      <c r="V17" s="821"/>
      <c r="W17" s="821"/>
      <c r="X17" s="821"/>
      <c r="Y17" s="822"/>
      <c r="Z17" s="530"/>
      <c r="AA17" s="531">
        <f t="shared" si="1"/>
        <v>0</v>
      </c>
      <c r="AB17" s="825"/>
      <c r="AC17" s="821"/>
      <c r="AD17" s="822"/>
      <c r="AE17" s="530"/>
    </row>
    <row r="18" spans="1:32" s="536" customFormat="1" ht="12.75" customHeight="1">
      <c r="A18" s="590">
        <f t="shared" si="12"/>
        <v>8</v>
      </c>
      <c r="B18" s="883">
        <v>8</v>
      </c>
      <c r="C18" s="1021" t="s">
        <v>713</v>
      </c>
      <c r="D18" s="1028" t="s">
        <v>1071</v>
      </c>
      <c r="E18" s="1025" t="s">
        <v>1268</v>
      </c>
      <c r="F18" s="1029" t="s">
        <v>659</v>
      </c>
      <c r="G18" s="530">
        <f t="shared" si="2"/>
        <v>0</v>
      </c>
      <c r="H18" s="531">
        <f t="shared" si="0"/>
        <v>0</v>
      </c>
      <c r="I18" s="818"/>
      <c r="J18" s="819"/>
      <c r="K18" s="819"/>
      <c r="L18" s="1020"/>
      <c r="M18" s="530"/>
      <c r="N18" s="531">
        <f t="shared" si="3"/>
        <v>0</v>
      </c>
      <c r="O18" s="818"/>
      <c r="P18" s="819"/>
      <c r="Q18" s="820"/>
      <c r="R18" s="530"/>
      <c r="S18" s="530">
        <f t="shared" si="4"/>
        <v>0</v>
      </c>
      <c r="T18" s="531">
        <f t="shared" si="5"/>
        <v>0</v>
      </c>
      <c r="U18" s="818"/>
      <c r="V18" s="821"/>
      <c r="W18" s="821"/>
      <c r="X18" s="821"/>
      <c r="Y18" s="822"/>
      <c r="Z18" s="530"/>
      <c r="AA18" s="531">
        <f t="shared" si="1"/>
        <v>0</v>
      </c>
      <c r="AB18" s="825"/>
      <c r="AC18" s="821"/>
      <c r="AD18" s="822"/>
      <c r="AE18" s="530"/>
    </row>
    <row r="19" spans="1:32">
      <c r="A19" s="590">
        <f>+A18+1</f>
        <v>9</v>
      </c>
      <c r="B19" s="883">
        <v>8</v>
      </c>
      <c r="C19" s="1021" t="s">
        <v>710</v>
      </c>
      <c r="D19" s="1022" t="s">
        <v>709</v>
      </c>
      <c r="E19" s="1025" t="s">
        <v>1269</v>
      </c>
      <c r="F19" s="1027" t="s">
        <v>785</v>
      </c>
      <c r="G19" s="530">
        <f t="shared" si="2"/>
        <v>0</v>
      </c>
      <c r="H19" s="531">
        <f t="shared" si="0"/>
        <v>0</v>
      </c>
      <c r="I19" s="818"/>
      <c r="J19" s="819"/>
      <c r="K19" s="819"/>
      <c r="L19" s="1020"/>
      <c r="M19" s="530"/>
      <c r="N19" s="531">
        <f t="shared" si="3"/>
        <v>0</v>
      </c>
      <c r="O19" s="818"/>
      <c r="P19" s="819"/>
      <c r="Q19" s="820"/>
      <c r="R19" s="530"/>
      <c r="S19" s="530">
        <f t="shared" si="4"/>
        <v>0</v>
      </c>
      <c r="T19" s="531">
        <f t="shared" si="5"/>
        <v>0</v>
      </c>
      <c r="U19" s="818"/>
      <c r="V19" s="821"/>
      <c r="W19" s="821"/>
      <c r="X19" s="821"/>
      <c r="Y19" s="822"/>
      <c r="Z19" s="530"/>
      <c r="AA19" s="531">
        <f t="shared" si="1"/>
        <v>0</v>
      </c>
      <c r="AB19" s="825"/>
      <c r="AC19" s="821"/>
      <c r="AD19" s="822"/>
      <c r="AE19" s="530"/>
    </row>
    <row r="20" spans="1:32">
      <c r="A20" s="590">
        <f t="shared" si="12"/>
        <v>10</v>
      </c>
      <c r="B20" s="883">
        <v>8</v>
      </c>
      <c r="C20" s="1021" t="s">
        <v>1014</v>
      </c>
      <c r="D20" s="1022" t="s">
        <v>1015</v>
      </c>
      <c r="E20" s="1025" t="s">
        <v>1265</v>
      </c>
      <c r="F20" s="1027" t="s">
        <v>1016</v>
      </c>
      <c r="G20" s="530">
        <f t="shared" si="2"/>
        <v>0</v>
      </c>
      <c r="H20" s="531">
        <f t="shared" si="0"/>
        <v>0</v>
      </c>
      <c r="I20" s="818"/>
      <c r="J20" s="819"/>
      <c r="K20" s="819"/>
      <c r="L20" s="1020"/>
      <c r="M20" s="530"/>
      <c r="N20" s="531">
        <f t="shared" si="3"/>
        <v>0</v>
      </c>
      <c r="O20" s="818"/>
      <c r="P20" s="819"/>
      <c r="Q20" s="820"/>
      <c r="R20" s="530"/>
      <c r="S20" s="530">
        <f t="shared" si="4"/>
        <v>0</v>
      </c>
      <c r="T20" s="531">
        <f t="shared" si="5"/>
        <v>0</v>
      </c>
      <c r="U20" s="818"/>
      <c r="V20" s="821"/>
      <c r="W20" s="821"/>
      <c r="X20" s="821"/>
      <c r="Y20" s="822"/>
      <c r="Z20" s="530"/>
      <c r="AA20" s="531">
        <f t="shared" si="1"/>
        <v>0</v>
      </c>
      <c r="AB20" s="825"/>
      <c r="AC20" s="821"/>
      <c r="AD20" s="822"/>
      <c r="AE20" s="530"/>
    </row>
    <row r="21" spans="1:32">
      <c r="A21" s="590">
        <f>+A20+1</f>
        <v>11</v>
      </c>
      <c r="B21" s="883">
        <v>8</v>
      </c>
      <c r="C21" s="1021" t="s">
        <v>734</v>
      </c>
      <c r="D21" s="1022" t="s">
        <v>732</v>
      </c>
      <c r="E21" s="1025" t="s">
        <v>1265</v>
      </c>
      <c r="F21" s="1027" t="s">
        <v>730</v>
      </c>
      <c r="G21" s="530">
        <f t="shared" si="2"/>
        <v>0</v>
      </c>
      <c r="H21" s="531">
        <f t="shared" si="0"/>
        <v>0</v>
      </c>
      <c r="I21" s="818"/>
      <c r="J21" s="819"/>
      <c r="K21" s="819"/>
      <c r="L21" s="1020"/>
      <c r="M21" s="530"/>
      <c r="N21" s="531">
        <f t="shared" si="3"/>
        <v>0</v>
      </c>
      <c r="O21" s="818"/>
      <c r="P21" s="819"/>
      <c r="Q21" s="820"/>
      <c r="R21" s="530"/>
      <c r="S21" s="530">
        <f t="shared" si="4"/>
        <v>0</v>
      </c>
      <c r="T21" s="531">
        <f t="shared" si="5"/>
        <v>0</v>
      </c>
      <c r="U21" s="818"/>
      <c r="V21" s="821"/>
      <c r="W21" s="821"/>
      <c r="X21" s="821"/>
      <c r="Y21" s="822"/>
      <c r="Z21" s="530"/>
      <c r="AA21" s="531">
        <f t="shared" si="1"/>
        <v>0</v>
      </c>
      <c r="AB21" s="825"/>
      <c r="AC21" s="821"/>
      <c r="AD21" s="822"/>
      <c r="AE21" s="530"/>
    </row>
    <row r="22" spans="1:32">
      <c r="A22" s="590">
        <f>+A21+1</f>
        <v>12</v>
      </c>
      <c r="B22" s="883">
        <v>8</v>
      </c>
      <c r="C22" s="1021" t="s">
        <v>731</v>
      </c>
      <c r="D22" s="1022" t="s">
        <v>733</v>
      </c>
      <c r="E22" s="1025" t="s">
        <v>1265</v>
      </c>
      <c r="F22" s="1027" t="s">
        <v>660</v>
      </c>
      <c r="G22" s="530">
        <f t="shared" si="2"/>
        <v>0</v>
      </c>
      <c r="H22" s="531">
        <f t="shared" si="0"/>
        <v>0</v>
      </c>
      <c r="I22" s="818"/>
      <c r="J22" s="819"/>
      <c r="K22" s="819"/>
      <c r="L22" s="1020"/>
      <c r="M22" s="530"/>
      <c r="N22" s="531">
        <f t="shared" si="3"/>
        <v>0</v>
      </c>
      <c r="O22" s="818"/>
      <c r="P22" s="819"/>
      <c r="Q22" s="820"/>
      <c r="R22" s="530"/>
      <c r="S22" s="530">
        <f t="shared" si="4"/>
        <v>0</v>
      </c>
      <c r="T22" s="531">
        <f t="shared" si="5"/>
        <v>0</v>
      </c>
      <c r="U22" s="818"/>
      <c r="V22" s="821"/>
      <c r="W22" s="821"/>
      <c r="X22" s="821"/>
      <c r="Y22" s="822"/>
      <c r="Z22" s="530"/>
      <c r="AA22" s="531">
        <f t="shared" si="1"/>
        <v>0</v>
      </c>
      <c r="AB22" s="825"/>
      <c r="AC22" s="821"/>
      <c r="AD22" s="822"/>
      <c r="AE22" s="530"/>
    </row>
    <row r="23" spans="1:32" s="1087" customFormat="1">
      <c r="A23" s="1382" t="str">
        <f>+$E$200&amp;". "&amp;$F$200</f>
        <v>10. ÖNK kiadásainak, bevételeinek felülvizsgálata</v>
      </c>
      <c r="B23" s="1383"/>
      <c r="C23" s="1383"/>
      <c r="D23" s="1383"/>
      <c r="E23" s="1383"/>
      <c r="F23" s="1384"/>
      <c r="G23" s="1080">
        <f>+H23+M23+N23+R23</f>
        <v>0</v>
      </c>
      <c r="H23" s="1081">
        <f t="shared" ref="H23" si="13">+I23+J23+K23+L23</f>
        <v>0</v>
      </c>
      <c r="I23" s="868"/>
      <c r="J23" s="869"/>
      <c r="K23" s="869"/>
      <c r="L23" s="1082"/>
      <c r="M23" s="1080"/>
      <c r="N23" s="1081">
        <f t="shared" ref="N23" si="14">+O23+P23+Q23</f>
        <v>0</v>
      </c>
      <c r="O23" s="868"/>
      <c r="P23" s="869"/>
      <c r="Q23" s="870"/>
      <c r="R23" s="1080"/>
      <c r="S23" s="1080">
        <f>+T23+Z23+AA23+AE23</f>
        <v>885</v>
      </c>
      <c r="T23" s="1081">
        <f t="shared" ref="T23" si="15">+U23+V23+W23+X23+Y23</f>
        <v>885</v>
      </c>
      <c r="U23" s="868"/>
      <c r="V23" s="1083"/>
      <c r="W23" s="1083"/>
      <c r="X23" s="1083"/>
      <c r="Y23" s="1084">
        <v>885</v>
      </c>
      <c r="Z23" s="1080"/>
      <c r="AA23" s="1081">
        <f>+AB23+AC23+AD23</f>
        <v>0</v>
      </c>
      <c r="AB23" s="1085"/>
      <c r="AC23" s="1083"/>
      <c r="AD23" s="1084"/>
      <c r="AE23" s="1080"/>
      <c r="AF23" s="1086">
        <f t="shared" ref="AF23" si="16">-G23+S23</f>
        <v>885</v>
      </c>
    </row>
    <row r="24" spans="1:32">
      <c r="A24" s="590">
        <f>+A22+1</f>
        <v>13</v>
      </c>
      <c r="B24" s="883">
        <v>8</v>
      </c>
      <c r="C24" s="1021" t="s">
        <v>1017</v>
      </c>
      <c r="D24" s="1022" t="s">
        <v>1018</v>
      </c>
      <c r="E24" s="1025" t="s">
        <v>1265</v>
      </c>
      <c r="F24" s="1027" t="s">
        <v>1010</v>
      </c>
      <c r="G24" s="530">
        <f t="shared" si="2"/>
        <v>0</v>
      </c>
      <c r="H24" s="531">
        <f t="shared" si="0"/>
        <v>0</v>
      </c>
      <c r="I24" s="818"/>
      <c r="J24" s="819"/>
      <c r="K24" s="819"/>
      <c r="L24" s="1020"/>
      <c r="M24" s="530"/>
      <c r="N24" s="531">
        <f t="shared" si="3"/>
        <v>0</v>
      </c>
      <c r="O24" s="818"/>
      <c r="P24" s="819"/>
      <c r="Q24" s="820"/>
      <c r="R24" s="530"/>
      <c r="S24" s="530">
        <f t="shared" si="4"/>
        <v>0</v>
      </c>
      <c r="T24" s="531">
        <f t="shared" si="5"/>
        <v>0</v>
      </c>
      <c r="U24" s="818"/>
      <c r="V24" s="821"/>
      <c r="W24" s="821"/>
      <c r="X24" s="821"/>
      <c r="Y24" s="822"/>
      <c r="Z24" s="530"/>
      <c r="AA24" s="531">
        <f t="shared" si="1"/>
        <v>0</v>
      </c>
      <c r="AB24" s="825"/>
      <c r="AC24" s="821"/>
      <c r="AD24" s="822"/>
      <c r="AE24" s="530"/>
    </row>
    <row r="25" spans="1:32" s="1087" customFormat="1" ht="12" customHeight="1">
      <c r="A25" s="1382" t="str">
        <f>+$E$205&amp;". "&amp;$F$205</f>
        <v>15. MŐSZ negatív finanszírozás rendezése</v>
      </c>
      <c r="B25" s="1383"/>
      <c r="C25" s="1383"/>
      <c r="D25" s="1383"/>
      <c r="E25" s="1383"/>
      <c r="F25" s="1384"/>
      <c r="G25" s="1080">
        <f t="shared" si="2"/>
        <v>2000</v>
      </c>
      <c r="H25" s="1081">
        <f t="shared" si="0"/>
        <v>2000</v>
      </c>
      <c r="I25" s="868">
        <v>2000</v>
      </c>
      <c r="J25" s="869"/>
      <c r="K25" s="869"/>
      <c r="L25" s="1082"/>
      <c r="M25" s="1080"/>
      <c r="N25" s="1081">
        <f t="shared" si="3"/>
        <v>0</v>
      </c>
      <c r="O25" s="868"/>
      <c r="P25" s="869"/>
      <c r="Q25" s="870"/>
      <c r="R25" s="1080"/>
      <c r="S25" s="1080">
        <f t="shared" si="4"/>
        <v>0</v>
      </c>
      <c r="T25" s="1081">
        <f t="shared" si="5"/>
        <v>0</v>
      </c>
      <c r="U25" s="868"/>
      <c r="V25" s="1088"/>
      <c r="W25" s="1088"/>
      <c r="X25" s="1088"/>
      <c r="Y25" s="1089"/>
      <c r="Z25" s="1080"/>
      <c r="AA25" s="1081">
        <f t="shared" si="1"/>
        <v>0</v>
      </c>
      <c r="AB25" s="1090"/>
      <c r="AC25" s="1088"/>
      <c r="AD25" s="1089"/>
      <c r="AE25" s="1080"/>
      <c r="AF25" s="1086">
        <f>-G25+S25</f>
        <v>-2000</v>
      </c>
    </row>
    <row r="26" spans="1:32">
      <c r="A26" s="590">
        <f>+A24+1</f>
        <v>14</v>
      </c>
      <c r="B26" s="883">
        <v>6</v>
      </c>
      <c r="C26" s="1021" t="s">
        <v>736</v>
      </c>
      <c r="D26" s="1022" t="s">
        <v>735</v>
      </c>
      <c r="E26" s="1025" t="s">
        <v>1265</v>
      </c>
      <c r="F26" s="1027" t="s">
        <v>661</v>
      </c>
      <c r="G26" s="530">
        <f t="shared" si="2"/>
        <v>0</v>
      </c>
      <c r="H26" s="531">
        <f t="shared" si="0"/>
        <v>0</v>
      </c>
      <c r="I26" s="818"/>
      <c r="J26" s="819"/>
      <c r="K26" s="819"/>
      <c r="L26" s="1020"/>
      <c r="M26" s="530"/>
      <c r="N26" s="531">
        <f t="shared" si="3"/>
        <v>0</v>
      </c>
      <c r="O26" s="818"/>
      <c r="P26" s="819"/>
      <c r="Q26" s="820"/>
      <c r="R26" s="530"/>
      <c r="S26" s="530">
        <f t="shared" si="4"/>
        <v>0</v>
      </c>
      <c r="T26" s="531">
        <f t="shared" si="5"/>
        <v>0</v>
      </c>
      <c r="U26" s="818"/>
      <c r="V26" s="821"/>
      <c r="W26" s="821"/>
      <c r="X26" s="821"/>
      <c r="Y26" s="822"/>
      <c r="Z26" s="530"/>
      <c r="AA26" s="531">
        <f t="shared" si="1"/>
        <v>0</v>
      </c>
      <c r="AB26" s="825"/>
      <c r="AC26" s="821"/>
      <c r="AD26" s="822"/>
      <c r="AE26" s="530"/>
    </row>
    <row r="27" spans="1:32">
      <c r="A27" s="590">
        <f t="shared" si="12"/>
        <v>15</v>
      </c>
      <c r="B27" s="883">
        <v>6</v>
      </c>
      <c r="C27" s="1021" t="s">
        <v>718</v>
      </c>
      <c r="D27" s="1022" t="s">
        <v>670</v>
      </c>
      <c r="E27" s="1025" t="s">
        <v>1265</v>
      </c>
      <c r="F27" s="1027" t="s">
        <v>717</v>
      </c>
      <c r="G27" s="530">
        <f t="shared" si="2"/>
        <v>0</v>
      </c>
      <c r="H27" s="531">
        <f t="shared" si="0"/>
        <v>0</v>
      </c>
      <c r="I27" s="818"/>
      <c r="J27" s="819"/>
      <c r="K27" s="819"/>
      <c r="L27" s="1020"/>
      <c r="M27" s="530"/>
      <c r="N27" s="531">
        <f t="shared" si="3"/>
        <v>0</v>
      </c>
      <c r="O27" s="818"/>
      <c r="P27" s="819"/>
      <c r="Q27" s="820"/>
      <c r="R27" s="530"/>
      <c r="S27" s="530">
        <f t="shared" si="4"/>
        <v>0</v>
      </c>
      <c r="T27" s="531">
        <f t="shared" si="5"/>
        <v>0</v>
      </c>
      <c r="U27" s="818"/>
      <c r="V27" s="821"/>
      <c r="W27" s="821"/>
      <c r="X27" s="821"/>
      <c r="Y27" s="822"/>
      <c r="Z27" s="530"/>
      <c r="AA27" s="531">
        <f t="shared" si="1"/>
        <v>0</v>
      </c>
      <c r="AB27" s="825"/>
      <c r="AC27" s="821"/>
      <c r="AD27" s="822"/>
      <c r="AE27" s="530"/>
    </row>
    <row r="28" spans="1:32">
      <c r="A28" s="590">
        <f t="shared" si="12"/>
        <v>16</v>
      </c>
      <c r="B28" s="883">
        <v>6</v>
      </c>
      <c r="C28" s="1021" t="s">
        <v>719</v>
      </c>
      <c r="D28" s="1022" t="s">
        <v>671</v>
      </c>
      <c r="E28" s="1025" t="s">
        <v>1265</v>
      </c>
      <c r="F28" s="1027" t="s">
        <v>717</v>
      </c>
      <c r="G28" s="530">
        <f t="shared" si="2"/>
        <v>0</v>
      </c>
      <c r="H28" s="531">
        <f t="shared" si="0"/>
        <v>0</v>
      </c>
      <c r="I28" s="818"/>
      <c r="J28" s="819"/>
      <c r="K28" s="819"/>
      <c r="L28" s="1020"/>
      <c r="M28" s="530"/>
      <c r="N28" s="531">
        <f t="shared" si="3"/>
        <v>0</v>
      </c>
      <c r="O28" s="818"/>
      <c r="P28" s="819"/>
      <c r="Q28" s="820"/>
      <c r="R28" s="530"/>
      <c r="S28" s="530">
        <f t="shared" si="4"/>
        <v>0</v>
      </c>
      <c r="T28" s="531">
        <f t="shared" si="5"/>
        <v>0</v>
      </c>
      <c r="U28" s="818"/>
      <c r="V28" s="821"/>
      <c r="W28" s="821"/>
      <c r="X28" s="821"/>
      <c r="Y28" s="822"/>
      <c r="Z28" s="530"/>
      <c r="AA28" s="531">
        <f t="shared" si="1"/>
        <v>0</v>
      </c>
      <c r="AB28" s="825"/>
      <c r="AC28" s="821"/>
      <c r="AD28" s="822"/>
      <c r="AE28" s="530"/>
    </row>
    <row r="29" spans="1:32">
      <c r="A29" s="590">
        <f>+A28+1</f>
        <v>17</v>
      </c>
      <c r="B29" s="883">
        <v>6</v>
      </c>
      <c r="C29" s="1021" t="s">
        <v>721</v>
      </c>
      <c r="D29" s="1022" t="s">
        <v>722</v>
      </c>
      <c r="E29" s="1025" t="s">
        <v>1265</v>
      </c>
      <c r="F29" s="1027" t="s">
        <v>720</v>
      </c>
      <c r="G29" s="530">
        <f t="shared" si="2"/>
        <v>0</v>
      </c>
      <c r="H29" s="531">
        <f t="shared" si="0"/>
        <v>0</v>
      </c>
      <c r="I29" s="818"/>
      <c r="J29" s="819"/>
      <c r="K29" s="819"/>
      <c r="L29" s="1020"/>
      <c r="M29" s="530"/>
      <c r="N29" s="531">
        <f t="shared" si="3"/>
        <v>0</v>
      </c>
      <c r="O29" s="818"/>
      <c r="P29" s="819"/>
      <c r="Q29" s="820"/>
      <c r="R29" s="530"/>
      <c r="S29" s="530">
        <f t="shared" si="4"/>
        <v>0</v>
      </c>
      <c r="T29" s="531">
        <f t="shared" si="5"/>
        <v>0</v>
      </c>
      <c r="U29" s="818"/>
      <c r="V29" s="821"/>
      <c r="W29" s="821"/>
      <c r="X29" s="821"/>
      <c r="Y29" s="822"/>
      <c r="Z29" s="530"/>
      <c r="AA29" s="531">
        <f t="shared" si="1"/>
        <v>0</v>
      </c>
      <c r="AB29" s="825"/>
      <c r="AC29" s="821"/>
      <c r="AD29" s="822"/>
      <c r="AE29" s="530"/>
    </row>
    <row r="30" spans="1:32">
      <c r="A30" s="590">
        <f t="shared" si="12"/>
        <v>18</v>
      </c>
      <c r="B30" s="883">
        <v>6</v>
      </c>
      <c r="C30" s="1021" t="s">
        <v>725</v>
      </c>
      <c r="D30" s="1022" t="s">
        <v>726</v>
      </c>
      <c r="E30" s="1025" t="s">
        <v>1265</v>
      </c>
      <c r="F30" s="1027" t="s">
        <v>723</v>
      </c>
      <c r="G30" s="530">
        <f t="shared" si="2"/>
        <v>0</v>
      </c>
      <c r="H30" s="531">
        <f t="shared" si="0"/>
        <v>0</v>
      </c>
      <c r="I30" s="818"/>
      <c r="J30" s="819"/>
      <c r="K30" s="819"/>
      <c r="L30" s="1020"/>
      <c r="M30" s="530"/>
      <c r="N30" s="531">
        <f t="shared" si="3"/>
        <v>0</v>
      </c>
      <c r="O30" s="818"/>
      <c r="P30" s="819"/>
      <c r="Q30" s="820"/>
      <c r="R30" s="530"/>
      <c r="S30" s="530">
        <f t="shared" si="4"/>
        <v>0</v>
      </c>
      <c r="T30" s="531">
        <f t="shared" si="5"/>
        <v>0</v>
      </c>
      <c r="U30" s="818"/>
      <c r="V30" s="821"/>
      <c r="W30" s="821"/>
      <c r="X30" s="821"/>
      <c r="Y30" s="822"/>
      <c r="Z30" s="530"/>
      <c r="AA30" s="531">
        <f t="shared" si="1"/>
        <v>0</v>
      </c>
      <c r="AB30" s="825"/>
      <c r="AC30" s="821"/>
      <c r="AD30" s="822"/>
      <c r="AE30" s="530"/>
    </row>
    <row r="31" spans="1:32">
      <c r="A31" s="590">
        <f t="shared" si="12"/>
        <v>19</v>
      </c>
      <c r="B31" s="884">
        <v>8</v>
      </c>
      <c r="C31" s="369" t="s">
        <v>724</v>
      </c>
      <c r="D31" s="1022" t="s">
        <v>672</v>
      </c>
      <c r="E31" s="1025" t="s">
        <v>1265</v>
      </c>
      <c r="F31" s="1027" t="s">
        <v>723</v>
      </c>
      <c r="G31" s="530">
        <f t="shared" si="2"/>
        <v>0</v>
      </c>
      <c r="H31" s="531">
        <f t="shared" si="0"/>
        <v>0</v>
      </c>
      <c r="I31" s="818"/>
      <c r="J31" s="819"/>
      <c r="K31" s="819"/>
      <c r="L31" s="1020"/>
      <c r="M31" s="530"/>
      <c r="N31" s="531">
        <f t="shared" si="3"/>
        <v>0</v>
      </c>
      <c r="O31" s="818"/>
      <c r="P31" s="819"/>
      <c r="Q31" s="820"/>
      <c r="R31" s="530"/>
      <c r="S31" s="530">
        <f t="shared" si="4"/>
        <v>0</v>
      </c>
      <c r="T31" s="531">
        <f t="shared" si="5"/>
        <v>0</v>
      </c>
      <c r="U31" s="818"/>
      <c r="V31" s="821"/>
      <c r="W31" s="821"/>
      <c r="X31" s="821"/>
      <c r="Y31" s="822"/>
      <c r="Z31" s="530"/>
      <c r="AA31" s="531">
        <f t="shared" si="1"/>
        <v>0</v>
      </c>
      <c r="AB31" s="825"/>
      <c r="AC31" s="821"/>
      <c r="AD31" s="822"/>
      <c r="AE31" s="530"/>
    </row>
    <row r="32" spans="1:32">
      <c r="A32" s="590">
        <f t="shared" si="12"/>
        <v>20</v>
      </c>
      <c r="B32" s="885">
        <v>5</v>
      </c>
      <c r="C32" s="366" t="s">
        <v>715</v>
      </c>
      <c r="D32" s="1030" t="s">
        <v>714</v>
      </c>
      <c r="E32" s="1031" t="s">
        <v>1270</v>
      </c>
      <c r="F32" s="1032" t="s">
        <v>1019</v>
      </c>
      <c r="G32" s="534">
        <f t="shared" si="2"/>
        <v>0</v>
      </c>
      <c r="H32" s="535">
        <f t="shared" si="0"/>
        <v>0</v>
      </c>
      <c r="I32" s="818"/>
      <c r="J32" s="819"/>
      <c r="K32" s="819"/>
      <c r="L32" s="1020"/>
      <c r="M32" s="534"/>
      <c r="N32" s="535">
        <f t="shared" si="3"/>
        <v>0</v>
      </c>
      <c r="O32" s="818"/>
      <c r="P32" s="819"/>
      <c r="Q32" s="820"/>
      <c r="R32" s="534"/>
      <c r="S32" s="530">
        <f t="shared" si="4"/>
        <v>0</v>
      </c>
      <c r="T32" s="531">
        <f t="shared" si="5"/>
        <v>0</v>
      </c>
      <c r="U32" s="818"/>
      <c r="V32" s="821"/>
      <c r="W32" s="821"/>
      <c r="X32" s="821"/>
      <c r="Y32" s="822"/>
      <c r="Z32" s="534"/>
      <c r="AA32" s="531">
        <f t="shared" si="1"/>
        <v>0</v>
      </c>
      <c r="AB32" s="825"/>
      <c r="AC32" s="821"/>
      <c r="AD32" s="822"/>
      <c r="AE32" s="534"/>
    </row>
    <row r="33" spans="1:32">
      <c r="A33" s="590">
        <f t="shared" si="12"/>
        <v>21</v>
      </c>
      <c r="B33" s="885">
        <v>8</v>
      </c>
      <c r="C33" s="366" t="s">
        <v>703</v>
      </c>
      <c r="D33" s="1030" t="s">
        <v>651</v>
      </c>
      <c r="E33" s="1031" t="s">
        <v>1265</v>
      </c>
      <c r="F33" s="1032" t="s">
        <v>651</v>
      </c>
      <c r="G33" s="534">
        <f t="shared" si="2"/>
        <v>0</v>
      </c>
      <c r="H33" s="535">
        <f t="shared" si="0"/>
        <v>0</v>
      </c>
      <c r="I33" s="818"/>
      <c r="J33" s="819"/>
      <c r="K33" s="819"/>
      <c r="L33" s="1020"/>
      <c r="M33" s="534"/>
      <c r="N33" s="535">
        <f t="shared" si="3"/>
        <v>0</v>
      </c>
      <c r="O33" s="818"/>
      <c r="P33" s="819"/>
      <c r="Q33" s="820"/>
      <c r="R33" s="534"/>
      <c r="S33" s="530">
        <f t="shared" si="4"/>
        <v>0</v>
      </c>
      <c r="T33" s="531">
        <f t="shared" si="5"/>
        <v>0</v>
      </c>
      <c r="U33" s="818"/>
      <c r="V33" s="821"/>
      <c r="W33" s="821"/>
      <c r="X33" s="821"/>
      <c r="Y33" s="822"/>
      <c r="Z33" s="534"/>
      <c r="AA33" s="531">
        <f t="shared" si="1"/>
        <v>0</v>
      </c>
      <c r="AB33" s="825"/>
      <c r="AC33" s="821"/>
      <c r="AD33" s="822"/>
      <c r="AE33" s="534"/>
    </row>
    <row r="34" spans="1:32" s="536" customFormat="1">
      <c r="A34" s="590">
        <f t="shared" si="12"/>
        <v>22</v>
      </c>
      <c r="B34" s="884">
        <v>5</v>
      </c>
      <c r="C34" s="369" t="s">
        <v>705</v>
      </c>
      <c r="D34" s="1022" t="s">
        <v>704</v>
      </c>
      <c r="E34" s="1025" t="s">
        <v>1287</v>
      </c>
      <c r="F34" s="1027" t="s">
        <v>704</v>
      </c>
      <c r="G34" s="530">
        <f t="shared" si="2"/>
        <v>0</v>
      </c>
      <c r="H34" s="531">
        <f t="shared" si="0"/>
        <v>0</v>
      </c>
      <c r="I34" s="818"/>
      <c r="J34" s="819"/>
      <c r="K34" s="819"/>
      <c r="L34" s="1020"/>
      <c r="M34" s="530"/>
      <c r="N34" s="531">
        <f t="shared" si="3"/>
        <v>0</v>
      </c>
      <c r="O34" s="818"/>
      <c r="P34" s="819"/>
      <c r="Q34" s="820"/>
      <c r="R34" s="530"/>
      <c r="S34" s="530">
        <f t="shared" si="4"/>
        <v>0</v>
      </c>
      <c r="T34" s="531">
        <f t="shared" si="5"/>
        <v>0</v>
      </c>
      <c r="U34" s="818"/>
      <c r="V34" s="821"/>
      <c r="W34" s="821"/>
      <c r="X34" s="821"/>
      <c r="Y34" s="822"/>
      <c r="Z34" s="530"/>
      <c r="AA34" s="531">
        <f t="shared" si="1"/>
        <v>0</v>
      </c>
      <c r="AB34" s="825"/>
      <c r="AC34" s="821"/>
      <c r="AD34" s="822"/>
      <c r="AE34" s="530"/>
    </row>
    <row r="35" spans="1:32" s="536" customFormat="1">
      <c r="A35" s="590">
        <f>+A34+1</f>
        <v>23</v>
      </c>
      <c r="B35" s="884">
        <v>8</v>
      </c>
      <c r="C35" s="369" t="s">
        <v>706</v>
      </c>
      <c r="D35" s="1022" t="s">
        <v>652</v>
      </c>
      <c r="E35" s="1025" t="s">
        <v>1265</v>
      </c>
      <c r="F35" s="1027" t="s">
        <v>652</v>
      </c>
      <c r="G35" s="530">
        <f t="shared" si="2"/>
        <v>0</v>
      </c>
      <c r="H35" s="531">
        <f t="shared" si="0"/>
        <v>0</v>
      </c>
      <c r="I35" s="818"/>
      <c r="J35" s="819"/>
      <c r="K35" s="819"/>
      <c r="L35" s="1020"/>
      <c r="M35" s="530"/>
      <c r="N35" s="531">
        <f t="shared" si="3"/>
        <v>0</v>
      </c>
      <c r="O35" s="818"/>
      <c r="P35" s="819"/>
      <c r="Q35" s="820"/>
      <c r="R35" s="530"/>
      <c r="S35" s="530">
        <f t="shared" si="4"/>
        <v>0</v>
      </c>
      <c r="T35" s="531">
        <f t="shared" si="5"/>
        <v>0</v>
      </c>
      <c r="U35" s="818"/>
      <c r="V35" s="821"/>
      <c r="W35" s="821"/>
      <c r="X35" s="821"/>
      <c r="Y35" s="822"/>
      <c r="Z35" s="530"/>
      <c r="AA35" s="531">
        <f t="shared" si="1"/>
        <v>0</v>
      </c>
      <c r="AB35" s="825"/>
      <c r="AC35" s="821"/>
      <c r="AD35" s="822"/>
      <c r="AE35" s="530"/>
    </row>
    <row r="36" spans="1:32" s="1087" customFormat="1">
      <c r="A36" s="1382" t="str">
        <f>+$E$194&amp;". "&amp;$F$194</f>
        <v>4. Önkormányzati beruházások felülvizsgálata - Erkel lakótelepi utca és Hunyadi J. u. felújítása</v>
      </c>
      <c r="B36" s="1383"/>
      <c r="C36" s="1383"/>
      <c r="D36" s="1383"/>
      <c r="E36" s="1383"/>
      <c r="F36" s="1384"/>
      <c r="G36" s="1080">
        <f>+H36+M36+N36+R36</f>
        <v>0</v>
      </c>
      <c r="H36" s="1081">
        <f>+I36+J36+K36+L36</f>
        <v>0</v>
      </c>
      <c r="I36" s="868"/>
      <c r="J36" s="869"/>
      <c r="K36" s="869"/>
      <c r="L36" s="1082"/>
      <c r="M36" s="1080"/>
      <c r="N36" s="1081">
        <f>+O36+P36+Q36</f>
        <v>0</v>
      </c>
      <c r="O36" s="868"/>
      <c r="P36" s="869"/>
      <c r="Q36" s="870"/>
      <c r="R36" s="1080"/>
      <c r="S36" s="1080">
        <f>+T36+Z36+AA36+AE36</f>
        <v>-29000</v>
      </c>
      <c r="T36" s="1081">
        <f>+U36+V36+W36+X36+Y36</f>
        <v>0</v>
      </c>
      <c r="U36" s="868"/>
      <c r="V36" s="1083"/>
      <c r="W36" s="1083"/>
      <c r="X36" s="1083"/>
      <c r="Y36" s="1084"/>
      <c r="Z36" s="1080"/>
      <c r="AA36" s="1081">
        <f>+AB36+AC36+AD36</f>
        <v>-29000</v>
      </c>
      <c r="AB36" s="1085"/>
      <c r="AC36" s="1083">
        <f>+H194</f>
        <v>-29000</v>
      </c>
      <c r="AD36" s="1084"/>
      <c r="AE36" s="1080"/>
      <c r="AF36" s="1086">
        <f>-G36+S36</f>
        <v>-29000</v>
      </c>
    </row>
    <row r="37" spans="1:32" s="1087" customFormat="1" ht="12" customHeight="1">
      <c r="A37" s="1382" t="str">
        <f>+$E$200&amp;". "&amp;$F$200</f>
        <v>10. ÖNK kiadásainak, bevételeinek felülvizsgálata</v>
      </c>
      <c r="B37" s="1383"/>
      <c r="C37" s="1383"/>
      <c r="D37" s="1383"/>
      <c r="E37" s="1383"/>
      <c r="F37" s="1384"/>
      <c r="G37" s="1080">
        <f t="shared" si="2"/>
        <v>0</v>
      </c>
      <c r="H37" s="1081">
        <f t="shared" si="0"/>
        <v>0</v>
      </c>
      <c r="I37" s="868"/>
      <c r="J37" s="869"/>
      <c r="K37" s="869"/>
      <c r="L37" s="1082"/>
      <c r="M37" s="1080"/>
      <c r="N37" s="1081">
        <f t="shared" si="3"/>
        <v>0</v>
      </c>
      <c r="O37" s="868"/>
      <c r="P37" s="869"/>
      <c r="Q37" s="870"/>
      <c r="R37" s="1080"/>
      <c r="S37" s="1080">
        <f t="shared" si="4"/>
        <v>-1000</v>
      </c>
      <c r="T37" s="1081">
        <f>+U37+V37+W37+X37+Y37</f>
        <v>-1000</v>
      </c>
      <c r="U37" s="868"/>
      <c r="V37" s="1083"/>
      <c r="W37" s="1083">
        <v>-1000</v>
      </c>
      <c r="X37" s="1083"/>
      <c r="Y37" s="1084"/>
      <c r="Z37" s="1080"/>
      <c r="AA37" s="1081">
        <f t="shared" si="1"/>
        <v>0</v>
      </c>
      <c r="AB37" s="1085"/>
      <c r="AC37" s="1083"/>
      <c r="AD37" s="1084"/>
      <c r="AE37" s="1080"/>
      <c r="AF37" s="1086">
        <f>-G37+S37</f>
        <v>-1000</v>
      </c>
    </row>
    <row r="38" spans="1:32" s="536" customFormat="1">
      <c r="A38" s="590">
        <f>+A35+1</f>
        <v>24</v>
      </c>
      <c r="B38" s="884">
        <v>8</v>
      </c>
      <c r="C38" s="369" t="s">
        <v>727</v>
      </c>
      <c r="D38" s="1022" t="s">
        <v>657</v>
      </c>
      <c r="E38" s="1025" t="s">
        <v>1265</v>
      </c>
      <c r="F38" s="1027" t="s">
        <v>657</v>
      </c>
      <c r="G38" s="530">
        <f t="shared" si="2"/>
        <v>0</v>
      </c>
      <c r="H38" s="531">
        <f t="shared" si="0"/>
        <v>0</v>
      </c>
      <c r="I38" s="818"/>
      <c r="J38" s="819"/>
      <c r="K38" s="819"/>
      <c r="L38" s="1020"/>
      <c r="M38" s="530"/>
      <c r="N38" s="531">
        <f t="shared" si="3"/>
        <v>0</v>
      </c>
      <c r="O38" s="818"/>
      <c r="P38" s="819"/>
      <c r="Q38" s="820"/>
      <c r="R38" s="530"/>
      <c r="S38" s="534">
        <f t="shared" si="4"/>
        <v>0</v>
      </c>
      <c r="T38" s="535">
        <f t="shared" si="5"/>
        <v>0</v>
      </c>
      <c r="U38" s="818"/>
      <c r="V38" s="823"/>
      <c r="W38" s="823"/>
      <c r="X38" s="823"/>
      <c r="Y38" s="824"/>
      <c r="Z38" s="530"/>
      <c r="AA38" s="535">
        <f t="shared" si="1"/>
        <v>0</v>
      </c>
      <c r="AB38" s="826"/>
      <c r="AC38" s="823"/>
      <c r="AD38" s="824"/>
      <c r="AE38" s="530"/>
    </row>
    <row r="39" spans="1:32" s="536" customFormat="1">
      <c r="A39" s="590">
        <f t="shared" si="12"/>
        <v>25</v>
      </c>
      <c r="B39" s="884">
        <v>8</v>
      </c>
      <c r="C39" s="369" t="s">
        <v>701</v>
      </c>
      <c r="D39" s="1022" t="s">
        <v>702</v>
      </c>
      <c r="E39" s="1025" t="s">
        <v>1265</v>
      </c>
      <c r="F39" s="1027" t="s">
        <v>1022</v>
      </c>
      <c r="G39" s="530">
        <f t="shared" si="2"/>
        <v>0</v>
      </c>
      <c r="H39" s="531">
        <f t="shared" si="0"/>
        <v>0</v>
      </c>
      <c r="I39" s="818"/>
      <c r="J39" s="819"/>
      <c r="K39" s="819"/>
      <c r="L39" s="1020"/>
      <c r="M39" s="530"/>
      <c r="N39" s="531">
        <f t="shared" si="3"/>
        <v>0</v>
      </c>
      <c r="O39" s="818"/>
      <c r="P39" s="819"/>
      <c r="Q39" s="820"/>
      <c r="R39" s="530"/>
      <c r="S39" s="530">
        <f t="shared" si="4"/>
        <v>0</v>
      </c>
      <c r="T39" s="531">
        <f t="shared" si="5"/>
        <v>0</v>
      </c>
      <c r="U39" s="825"/>
      <c r="V39" s="821"/>
      <c r="W39" s="821"/>
      <c r="X39" s="821"/>
      <c r="Y39" s="822"/>
      <c r="Z39" s="530"/>
      <c r="AA39" s="531">
        <f t="shared" si="1"/>
        <v>0</v>
      </c>
      <c r="AB39" s="825"/>
      <c r="AC39" s="821"/>
      <c r="AD39" s="822"/>
      <c r="AE39" s="530"/>
    </row>
    <row r="40" spans="1:32" s="536" customFormat="1">
      <c r="A40" s="590">
        <f>+A39+1</f>
        <v>26</v>
      </c>
      <c r="B40" s="884">
        <v>3</v>
      </c>
      <c r="C40" s="369" t="s">
        <v>699</v>
      </c>
      <c r="D40" s="1022" t="s">
        <v>700</v>
      </c>
      <c r="E40" s="1025" t="s">
        <v>1265</v>
      </c>
      <c r="F40" s="1027" t="s">
        <v>650</v>
      </c>
      <c r="G40" s="530">
        <f t="shared" si="2"/>
        <v>0</v>
      </c>
      <c r="H40" s="531">
        <f t="shared" si="0"/>
        <v>0</v>
      </c>
      <c r="I40" s="818"/>
      <c r="J40" s="819"/>
      <c r="K40" s="819"/>
      <c r="L40" s="1020"/>
      <c r="M40" s="530"/>
      <c r="N40" s="531">
        <f t="shared" si="3"/>
        <v>0</v>
      </c>
      <c r="O40" s="818"/>
      <c r="P40" s="819"/>
      <c r="Q40" s="820"/>
      <c r="R40" s="530"/>
      <c r="S40" s="534">
        <f t="shared" si="4"/>
        <v>0</v>
      </c>
      <c r="T40" s="535">
        <f t="shared" si="5"/>
        <v>0</v>
      </c>
      <c r="U40" s="818"/>
      <c r="V40" s="823"/>
      <c r="W40" s="823"/>
      <c r="X40" s="823"/>
      <c r="Y40" s="824"/>
      <c r="Z40" s="530"/>
      <c r="AA40" s="535">
        <f t="shared" si="1"/>
        <v>0</v>
      </c>
      <c r="AB40" s="826"/>
      <c r="AC40" s="823"/>
      <c r="AD40" s="824"/>
      <c r="AE40" s="530"/>
    </row>
    <row r="41" spans="1:32" s="536" customFormat="1">
      <c r="A41" s="590">
        <f t="shared" si="12"/>
        <v>27</v>
      </c>
      <c r="B41" s="884">
        <v>4</v>
      </c>
      <c r="C41" s="369" t="s">
        <v>707</v>
      </c>
      <c r="D41" s="1022" t="s">
        <v>653</v>
      </c>
      <c r="E41" s="1025" t="s">
        <v>1265</v>
      </c>
      <c r="F41" s="1027" t="s">
        <v>653</v>
      </c>
      <c r="G41" s="530">
        <f t="shared" si="2"/>
        <v>0</v>
      </c>
      <c r="H41" s="531">
        <f t="shared" si="0"/>
        <v>0</v>
      </c>
      <c r="I41" s="818"/>
      <c r="J41" s="819"/>
      <c r="K41" s="819"/>
      <c r="L41" s="1020"/>
      <c r="M41" s="530"/>
      <c r="N41" s="531">
        <f t="shared" si="3"/>
        <v>0</v>
      </c>
      <c r="O41" s="818"/>
      <c r="P41" s="819"/>
      <c r="Q41" s="820"/>
      <c r="R41" s="530"/>
      <c r="S41" s="530">
        <f t="shared" si="4"/>
        <v>0</v>
      </c>
      <c r="T41" s="531">
        <f t="shared" si="5"/>
        <v>0</v>
      </c>
      <c r="U41" s="818"/>
      <c r="V41" s="821"/>
      <c r="W41" s="821"/>
      <c r="X41" s="821"/>
      <c r="Y41" s="822"/>
      <c r="Z41" s="530"/>
      <c r="AA41" s="531">
        <f t="shared" si="1"/>
        <v>0</v>
      </c>
      <c r="AB41" s="825"/>
      <c r="AC41" s="821"/>
      <c r="AD41" s="822"/>
      <c r="AE41" s="530"/>
    </row>
    <row r="42" spans="1:32" s="536" customFormat="1">
      <c r="A42" s="590">
        <f>+A41+1</f>
        <v>28</v>
      </c>
      <c r="B42" s="884">
        <v>8</v>
      </c>
      <c r="C42" s="369" t="s">
        <v>716</v>
      </c>
      <c r="D42" s="1022" t="s">
        <v>655</v>
      </c>
      <c r="E42" s="1025" t="s">
        <v>1272</v>
      </c>
      <c r="F42" s="1027" t="s">
        <v>655</v>
      </c>
      <c r="G42" s="530">
        <f t="shared" si="2"/>
        <v>0</v>
      </c>
      <c r="H42" s="531">
        <f t="shared" si="0"/>
        <v>0</v>
      </c>
      <c r="I42" s="818"/>
      <c r="J42" s="819"/>
      <c r="K42" s="819"/>
      <c r="L42" s="1020"/>
      <c r="M42" s="530"/>
      <c r="N42" s="531">
        <f t="shared" si="3"/>
        <v>0</v>
      </c>
      <c r="O42" s="818"/>
      <c r="P42" s="819"/>
      <c r="Q42" s="820"/>
      <c r="R42" s="530"/>
      <c r="S42" s="530">
        <f t="shared" si="4"/>
        <v>0</v>
      </c>
      <c r="T42" s="531">
        <f t="shared" si="5"/>
        <v>0</v>
      </c>
      <c r="U42" s="818"/>
      <c r="V42" s="821"/>
      <c r="W42" s="821"/>
      <c r="X42" s="821"/>
      <c r="Y42" s="822"/>
      <c r="Z42" s="530"/>
      <c r="AA42" s="531">
        <f t="shared" si="1"/>
        <v>0</v>
      </c>
      <c r="AB42" s="825"/>
      <c r="AC42" s="821"/>
      <c r="AD42" s="822"/>
      <c r="AE42" s="530"/>
    </row>
    <row r="43" spans="1:32" s="1087" customFormat="1">
      <c r="A43" s="1382" t="str">
        <f>+$E$193&amp;". "&amp;$F$193</f>
        <v>3. Önkormányzati beruházások felülvizsgálata - Művelődési Ház mellett építendő közhasználatú illemhely megépítése</v>
      </c>
      <c r="B43" s="1383"/>
      <c r="C43" s="1383"/>
      <c r="D43" s="1383"/>
      <c r="E43" s="1383"/>
      <c r="F43" s="1384"/>
      <c r="G43" s="1080">
        <f>+H43+M43+N43+R43</f>
        <v>0</v>
      </c>
      <c r="H43" s="1081">
        <f>+I43+J43+K43+L43</f>
        <v>0</v>
      </c>
      <c r="I43" s="868"/>
      <c r="J43" s="869"/>
      <c r="K43" s="869"/>
      <c r="L43" s="1082"/>
      <c r="M43" s="1080"/>
      <c r="N43" s="1081">
        <f>+O43+P43+Q43</f>
        <v>0</v>
      </c>
      <c r="O43" s="868"/>
      <c r="P43" s="869"/>
      <c r="Q43" s="870"/>
      <c r="R43" s="1080"/>
      <c r="S43" s="1080">
        <f>+T43+Z43+AA43+AE43</f>
        <v>-6500</v>
      </c>
      <c r="T43" s="1081">
        <f>+U43+V43+W43+X43+Y43</f>
        <v>0</v>
      </c>
      <c r="U43" s="868"/>
      <c r="V43" s="1083"/>
      <c r="W43" s="1083"/>
      <c r="X43" s="1083"/>
      <c r="Y43" s="1084"/>
      <c r="Z43" s="1080"/>
      <c r="AA43" s="1081">
        <f>+AB43+AC43+AD43</f>
        <v>-6500</v>
      </c>
      <c r="AB43" s="1085">
        <f>+H193</f>
        <v>-6500</v>
      </c>
      <c r="AC43" s="1083"/>
      <c r="AD43" s="1084"/>
      <c r="AE43" s="1080"/>
      <c r="AF43" s="1086">
        <f>-G43+S43</f>
        <v>-6500</v>
      </c>
    </row>
    <row r="44" spans="1:32" s="536" customFormat="1">
      <c r="A44" s="590">
        <f>+A42+1</f>
        <v>29</v>
      </c>
      <c r="B44" s="883">
        <v>7</v>
      </c>
      <c r="C44" s="437" t="s">
        <v>708</v>
      </c>
      <c r="D44" s="1028" t="s">
        <v>654</v>
      </c>
      <c r="E44" s="1025" t="s">
        <v>1265</v>
      </c>
      <c r="F44" s="1029" t="s">
        <v>654</v>
      </c>
      <c r="G44" s="530">
        <f t="shared" si="2"/>
        <v>0</v>
      </c>
      <c r="H44" s="531">
        <f t="shared" si="0"/>
        <v>0</v>
      </c>
      <c r="I44" s="818"/>
      <c r="J44" s="819"/>
      <c r="K44" s="819"/>
      <c r="L44" s="1020"/>
      <c r="M44" s="530"/>
      <c r="N44" s="531">
        <f t="shared" si="3"/>
        <v>0</v>
      </c>
      <c r="O44" s="818"/>
      <c r="P44" s="819"/>
      <c r="Q44" s="820"/>
      <c r="R44" s="530"/>
      <c r="S44" s="530">
        <f t="shared" si="4"/>
        <v>0</v>
      </c>
      <c r="T44" s="531">
        <f t="shared" si="5"/>
        <v>0</v>
      </c>
      <c r="U44" s="818"/>
      <c r="V44" s="821"/>
      <c r="W44" s="821"/>
      <c r="X44" s="821"/>
      <c r="Y44" s="822"/>
      <c r="Z44" s="530"/>
      <c r="AA44" s="531">
        <f t="shared" si="1"/>
        <v>0</v>
      </c>
      <c r="AB44" s="825"/>
      <c r="AC44" s="821"/>
      <c r="AD44" s="822"/>
      <c r="AE44" s="530"/>
    </row>
    <row r="45" spans="1:32" s="1087" customFormat="1">
      <c r="A45" s="1382" t="str">
        <f>+$E$191&amp;". "&amp;$F$191</f>
        <v>1. Ingatlanértékesítés</v>
      </c>
      <c r="B45" s="1383"/>
      <c r="C45" s="1383"/>
      <c r="D45" s="1383"/>
      <c r="E45" s="1383"/>
      <c r="F45" s="1384"/>
      <c r="G45" s="1080">
        <f t="shared" si="2"/>
        <v>10000</v>
      </c>
      <c r="H45" s="1081">
        <f t="shared" si="0"/>
        <v>0</v>
      </c>
      <c r="I45" s="868"/>
      <c r="J45" s="869"/>
      <c r="K45" s="869"/>
      <c r="L45" s="1082"/>
      <c r="M45" s="1080"/>
      <c r="N45" s="1081">
        <f t="shared" si="3"/>
        <v>10000</v>
      </c>
      <c r="O45" s="868"/>
      <c r="P45" s="869">
        <f>+-H191</f>
        <v>10000</v>
      </c>
      <c r="Q45" s="870"/>
      <c r="R45" s="1080"/>
      <c r="S45" s="1080">
        <f t="shared" si="4"/>
        <v>0</v>
      </c>
      <c r="T45" s="1081">
        <f t="shared" si="5"/>
        <v>0</v>
      </c>
      <c r="U45" s="868"/>
      <c r="V45" s="1083"/>
      <c r="W45" s="1083"/>
      <c r="X45" s="1083"/>
      <c r="Y45" s="1084"/>
      <c r="Z45" s="1080"/>
      <c r="AA45" s="1081">
        <f t="shared" si="1"/>
        <v>0</v>
      </c>
      <c r="AB45" s="1085"/>
      <c r="AC45" s="1083"/>
      <c r="AD45" s="1084"/>
      <c r="AE45" s="1080"/>
      <c r="AF45" s="1086">
        <f t="shared" ref="AF45:AF48" si="17">-G45+S45</f>
        <v>-10000</v>
      </c>
    </row>
    <row r="46" spans="1:32" s="1087" customFormat="1">
      <c r="A46" s="1382" t="str">
        <f>+$E$195&amp;". "&amp;$F$195</f>
        <v>5. Önkormányzati beruházások felülvizsgálata - Büntetésvégrehajtási intézet beruházásához vállalt fejlesztési kötelezettségek</v>
      </c>
      <c r="B46" s="1383"/>
      <c r="C46" s="1383"/>
      <c r="D46" s="1383"/>
      <c r="E46" s="1383"/>
      <c r="F46" s="1384"/>
      <c r="G46" s="1080">
        <f>+H46+M46+N46+R46</f>
        <v>0</v>
      </c>
      <c r="H46" s="1081">
        <f t="shared" si="0"/>
        <v>0</v>
      </c>
      <c r="I46" s="868"/>
      <c r="J46" s="869"/>
      <c r="K46" s="869"/>
      <c r="L46" s="1082"/>
      <c r="M46" s="1080"/>
      <c r="N46" s="1081">
        <f t="shared" si="3"/>
        <v>0</v>
      </c>
      <c r="O46" s="868"/>
      <c r="P46" s="869"/>
      <c r="Q46" s="870"/>
      <c r="R46" s="1080"/>
      <c r="S46" s="1080">
        <f>+T46+Z46+AA46+AE46</f>
        <v>-9000</v>
      </c>
      <c r="T46" s="1081">
        <f t="shared" si="5"/>
        <v>0</v>
      </c>
      <c r="U46" s="868"/>
      <c r="V46" s="1083"/>
      <c r="W46" s="1083"/>
      <c r="X46" s="1083"/>
      <c r="Y46" s="1084"/>
      <c r="Z46" s="1080"/>
      <c r="AA46" s="1081">
        <f>+AB46+AC46+AD46</f>
        <v>-9000</v>
      </c>
      <c r="AB46" s="1085">
        <f>+H195</f>
        <v>-9000</v>
      </c>
      <c r="AC46" s="1083"/>
      <c r="AD46" s="1084"/>
      <c r="AE46" s="1080"/>
      <c r="AF46" s="1086">
        <f t="shared" si="17"/>
        <v>-9000</v>
      </c>
    </row>
    <row r="47" spans="1:32" s="1087" customFormat="1">
      <c r="A47" s="1382" t="str">
        <f>+$E$196&amp;". "&amp;$F$196</f>
        <v>6. Önkormányzati beruházások felülvizsgálata - Utcanévtáblák elkészítése és kihelyzése</v>
      </c>
      <c r="B47" s="1383"/>
      <c r="C47" s="1383"/>
      <c r="D47" s="1383"/>
      <c r="E47" s="1383"/>
      <c r="F47" s="1384"/>
      <c r="G47" s="1080">
        <f>+H47+M47+N47+R47</f>
        <v>0</v>
      </c>
      <c r="H47" s="1081">
        <f t="shared" si="0"/>
        <v>0</v>
      </c>
      <c r="I47" s="868"/>
      <c r="J47" s="869"/>
      <c r="K47" s="869"/>
      <c r="L47" s="1082"/>
      <c r="M47" s="1080"/>
      <c r="N47" s="1081">
        <f t="shared" si="3"/>
        <v>0</v>
      </c>
      <c r="O47" s="868"/>
      <c r="P47" s="869"/>
      <c r="Q47" s="870"/>
      <c r="R47" s="1080"/>
      <c r="S47" s="1080">
        <f>+T47+Z47+AA47+AE47</f>
        <v>-6000</v>
      </c>
      <c r="T47" s="1081">
        <f t="shared" si="5"/>
        <v>0</v>
      </c>
      <c r="U47" s="868"/>
      <c r="V47" s="1083"/>
      <c r="W47" s="1083"/>
      <c r="X47" s="1083"/>
      <c r="Y47" s="1084"/>
      <c r="Z47" s="1080"/>
      <c r="AA47" s="1081">
        <f>+AB47+AC47+AD47</f>
        <v>-6000</v>
      </c>
      <c r="AB47" s="1085">
        <f>H196</f>
        <v>-6000</v>
      </c>
      <c r="AC47" s="1083"/>
      <c r="AD47" s="1084"/>
      <c r="AE47" s="1080"/>
      <c r="AF47" s="1086">
        <f t="shared" si="17"/>
        <v>-6000</v>
      </c>
    </row>
    <row r="48" spans="1:32" s="1087" customFormat="1">
      <c r="A48" s="1382" t="str">
        <f>+$E$200&amp;". "&amp;$F$200</f>
        <v>10. ÖNK kiadásainak, bevételeinek felülvizsgálata</v>
      </c>
      <c r="B48" s="1383"/>
      <c r="C48" s="1383"/>
      <c r="D48" s="1383"/>
      <c r="E48" s="1383"/>
      <c r="F48" s="1384"/>
      <c r="G48" s="1080">
        <f>+H48+M48+N48+R48</f>
        <v>2499</v>
      </c>
      <c r="H48" s="1081">
        <f t="shared" si="0"/>
        <v>0</v>
      </c>
      <c r="I48" s="868"/>
      <c r="J48" s="869"/>
      <c r="K48" s="869"/>
      <c r="L48" s="1082"/>
      <c r="M48" s="1080"/>
      <c r="N48" s="1081">
        <f t="shared" si="3"/>
        <v>2499</v>
      </c>
      <c r="O48" s="868">
        <v>2499</v>
      </c>
      <c r="P48" s="869"/>
      <c r="Q48" s="870"/>
      <c r="R48" s="1080"/>
      <c r="S48" s="1080">
        <f>+T48+Z48+AA48+AE48</f>
        <v>-3000</v>
      </c>
      <c r="T48" s="1081">
        <f t="shared" si="5"/>
        <v>-3000</v>
      </c>
      <c r="U48" s="868"/>
      <c r="V48" s="1083"/>
      <c r="W48" s="1083">
        <f>-1000-2000</f>
        <v>-3000</v>
      </c>
      <c r="X48" s="1083"/>
      <c r="Y48" s="1084"/>
      <c r="Z48" s="1080"/>
      <c r="AA48" s="1081">
        <f>+AB48+AC48+AD48</f>
        <v>0</v>
      </c>
      <c r="AB48" s="1085"/>
      <c r="AC48" s="1083"/>
      <c r="AD48" s="1084"/>
      <c r="AE48" s="1080"/>
      <c r="AF48" s="1086">
        <f t="shared" si="17"/>
        <v>-5499</v>
      </c>
    </row>
    <row r="49" spans="1:32" s="536" customFormat="1" ht="24">
      <c r="A49" s="590">
        <f>+A44+1</f>
        <v>30</v>
      </c>
      <c r="B49" s="883">
        <v>7</v>
      </c>
      <c r="C49" s="437" t="s">
        <v>705</v>
      </c>
      <c r="D49" s="1028" t="s">
        <v>1300</v>
      </c>
      <c r="E49" s="1025" t="s">
        <v>1287</v>
      </c>
      <c r="F49" s="1029" t="s">
        <v>1291</v>
      </c>
      <c r="G49" s="530">
        <f t="shared" si="2"/>
        <v>0</v>
      </c>
      <c r="H49" s="531">
        <f t="shared" si="0"/>
        <v>0</v>
      </c>
      <c r="I49" s="818"/>
      <c r="J49" s="819"/>
      <c r="K49" s="819"/>
      <c r="L49" s="1020"/>
      <c r="M49" s="530"/>
      <c r="N49" s="531">
        <f t="shared" si="3"/>
        <v>0</v>
      </c>
      <c r="O49" s="818"/>
      <c r="P49" s="819"/>
      <c r="Q49" s="820"/>
      <c r="R49" s="530"/>
      <c r="S49" s="530">
        <f t="shared" si="4"/>
        <v>0</v>
      </c>
      <c r="T49" s="531">
        <f t="shared" si="5"/>
        <v>0</v>
      </c>
      <c r="U49" s="818"/>
      <c r="V49" s="821"/>
      <c r="W49" s="821"/>
      <c r="X49" s="821"/>
      <c r="Y49" s="822"/>
      <c r="Z49" s="530"/>
      <c r="AA49" s="531">
        <f t="shared" si="1"/>
        <v>0</v>
      </c>
      <c r="AB49" s="825"/>
      <c r="AC49" s="821"/>
      <c r="AD49" s="822"/>
      <c r="AE49" s="530"/>
    </row>
    <row r="50" spans="1:32" s="536" customFormat="1" ht="24">
      <c r="A50" s="590">
        <f t="shared" si="12"/>
        <v>31</v>
      </c>
      <c r="B50" s="883">
        <v>8</v>
      </c>
      <c r="C50" s="437" t="s">
        <v>705</v>
      </c>
      <c r="D50" s="1028" t="s">
        <v>1300</v>
      </c>
      <c r="E50" s="1025" t="s">
        <v>1287</v>
      </c>
      <c r="F50" s="1029" t="s">
        <v>1292</v>
      </c>
      <c r="G50" s="530">
        <f t="shared" si="2"/>
        <v>0</v>
      </c>
      <c r="H50" s="531">
        <f t="shared" si="0"/>
        <v>0</v>
      </c>
      <c r="I50" s="818"/>
      <c r="J50" s="819"/>
      <c r="K50" s="819"/>
      <c r="L50" s="1020"/>
      <c r="M50" s="530"/>
      <c r="N50" s="531">
        <f t="shared" si="3"/>
        <v>0</v>
      </c>
      <c r="O50" s="818"/>
      <c r="P50" s="819"/>
      <c r="Q50" s="820"/>
      <c r="R50" s="530"/>
      <c r="S50" s="530">
        <f t="shared" si="4"/>
        <v>0</v>
      </c>
      <c r="T50" s="531">
        <f t="shared" si="5"/>
        <v>0</v>
      </c>
      <c r="U50" s="818"/>
      <c r="V50" s="821"/>
      <c r="W50" s="821"/>
      <c r="X50" s="821"/>
      <c r="Y50" s="822"/>
      <c r="Z50" s="530"/>
      <c r="AA50" s="531">
        <f t="shared" si="1"/>
        <v>0</v>
      </c>
      <c r="AB50" s="825"/>
      <c r="AC50" s="821"/>
      <c r="AD50" s="822"/>
      <c r="AE50" s="530"/>
    </row>
    <row r="51" spans="1:32" s="536" customFormat="1" ht="24">
      <c r="A51" s="590">
        <f t="shared" si="12"/>
        <v>32</v>
      </c>
      <c r="B51" s="883">
        <v>8</v>
      </c>
      <c r="C51" s="437" t="s">
        <v>705</v>
      </c>
      <c r="D51" s="1028" t="s">
        <v>1300</v>
      </c>
      <c r="E51" s="1025" t="s">
        <v>1287</v>
      </c>
      <c r="F51" s="1029" t="s">
        <v>1293</v>
      </c>
      <c r="G51" s="530">
        <f t="shared" si="2"/>
        <v>0</v>
      </c>
      <c r="H51" s="531">
        <f t="shared" si="0"/>
        <v>0</v>
      </c>
      <c r="I51" s="818"/>
      <c r="J51" s="819"/>
      <c r="K51" s="819"/>
      <c r="L51" s="1020"/>
      <c r="M51" s="530"/>
      <c r="N51" s="531">
        <f t="shared" si="3"/>
        <v>0</v>
      </c>
      <c r="O51" s="818"/>
      <c r="P51" s="819"/>
      <c r="Q51" s="820"/>
      <c r="R51" s="530"/>
      <c r="S51" s="530">
        <f t="shared" si="4"/>
        <v>0</v>
      </c>
      <c r="T51" s="531">
        <f t="shared" si="5"/>
        <v>0</v>
      </c>
      <c r="U51" s="818"/>
      <c r="V51" s="821"/>
      <c r="W51" s="821"/>
      <c r="X51" s="821"/>
      <c r="Y51" s="822"/>
      <c r="Z51" s="530"/>
      <c r="AA51" s="531">
        <f t="shared" si="1"/>
        <v>0</v>
      </c>
      <c r="AB51" s="825"/>
      <c r="AC51" s="821"/>
      <c r="AD51" s="822"/>
      <c r="AE51" s="530"/>
    </row>
    <row r="52" spans="1:32" s="536" customFormat="1" ht="24">
      <c r="A52" s="590">
        <f t="shared" si="12"/>
        <v>33</v>
      </c>
      <c r="B52" s="883">
        <v>8</v>
      </c>
      <c r="C52" s="437" t="s">
        <v>1296</v>
      </c>
      <c r="D52" s="1028" t="s">
        <v>1294</v>
      </c>
      <c r="E52" s="1025" t="s">
        <v>1265</v>
      </c>
      <c r="F52" s="1029" t="s">
        <v>1295</v>
      </c>
      <c r="G52" s="530">
        <f t="shared" si="2"/>
        <v>0</v>
      </c>
      <c r="H52" s="531">
        <f t="shared" si="0"/>
        <v>0</v>
      </c>
      <c r="I52" s="818"/>
      <c r="J52" s="819"/>
      <c r="K52" s="819"/>
      <c r="L52" s="1020"/>
      <c r="M52" s="530"/>
      <c r="N52" s="531">
        <f t="shared" si="3"/>
        <v>0</v>
      </c>
      <c r="O52" s="818"/>
      <c r="P52" s="819"/>
      <c r="Q52" s="820"/>
      <c r="R52" s="530"/>
      <c r="S52" s="530">
        <f t="shared" si="4"/>
        <v>0</v>
      </c>
      <c r="T52" s="531">
        <f t="shared" si="5"/>
        <v>0</v>
      </c>
      <c r="U52" s="818"/>
      <c r="V52" s="821"/>
      <c r="W52" s="821"/>
      <c r="X52" s="821"/>
      <c r="Y52" s="822"/>
      <c r="Z52" s="530"/>
      <c r="AA52" s="531">
        <f t="shared" si="1"/>
        <v>0</v>
      </c>
      <c r="AB52" s="825"/>
      <c r="AC52" s="821"/>
      <c r="AD52" s="822"/>
      <c r="AE52" s="530"/>
    </row>
    <row r="53" spans="1:32" s="536" customFormat="1" ht="24">
      <c r="A53" s="590">
        <f>+A52+1</f>
        <v>34</v>
      </c>
      <c r="B53" s="883">
        <v>8</v>
      </c>
      <c r="C53" s="437" t="s">
        <v>1093</v>
      </c>
      <c r="D53" s="1028" t="s">
        <v>1299</v>
      </c>
      <c r="E53" s="1025" t="s">
        <v>1265</v>
      </c>
      <c r="F53" s="1029" t="s">
        <v>1298</v>
      </c>
      <c r="G53" s="530">
        <f t="shared" si="2"/>
        <v>0</v>
      </c>
      <c r="H53" s="531">
        <f>+I53+J53+K53+L53</f>
        <v>0</v>
      </c>
      <c r="I53" s="818"/>
      <c r="J53" s="819"/>
      <c r="K53" s="819"/>
      <c r="L53" s="1020"/>
      <c r="M53" s="530"/>
      <c r="N53" s="531">
        <f>+O53+P53+Q53</f>
        <v>0</v>
      </c>
      <c r="O53" s="818"/>
      <c r="P53" s="819"/>
      <c r="Q53" s="820"/>
      <c r="R53" s="530"/>
      <c r="S53" s="530">
        <f t="shared" si="4"/>
        <v>0</v>
      </c>
      <c r="T53" s="531">
        <f>+U53+V53+W53+X53+Y53</f>
        <v>0</v>
      </c>
      <c r="U53" s="818"/>
      <c r="V53" s="821"/>
      <c r="W53" s="821"/>
      <c r="X53" s="821"/>
      <c r="Y53" s="822"/>
      <c r="Z53" s="530"/>
      <c r="AA53" s="531">
        <f t="shared" si="1"/>
        <v>0</v>
      </c>
      <c r="AB53" s="825"/>
      <c r="AC53" s="821"/>
      <c r="AD53" s="822"/>
      <c r="AE53" s="530"/>
    </row>
    <row r="54" spans="1:32" s="536" customFormat="1" ht="24">
      <c r="A54" s="590">
        <f t="shared" si="12"/>
        <v>35</v>
      </c>
      <c r="B54" s="883">
        <v>8</v>
      </c>
      <c r="C54" s="437" t="s">
        <v>1302</v>
      </c>
      <c r="D54" s="1028" t="s">
        <v>1303</v>
      </c>
      <c r="E54" s="1025" t="s">
        <v>1265</v>
      </c>
      <c r="F54" s="1029" t="s">
        <v>1304</v>
      </c>
      <c r="G54" s="530">
        <f t="shared" si="2"/>
        <v>0</v>
      </c>
      <c r="H54" s="531">
        <f>+I54+J54+K54+L54</f>
        <v>0</v>
      </c>
      <c r="I54" s="818"/>
      <c r="J54" s="819"/>
      <c r="K54" s="819"/>
      <c r="L54" s="1020"/>
      <c r="M54" s="530"/>
      <c r="N54" s="531">
        <f>+O54+P54+Q54</f>
        <v>0</v>
      </c>
      <c r="O54" s="818"/>
      <c r="P54" s="819"/>
      <c r="Q54" s="820"/>
      <c r="R54" s="530"/>
      <c r="S54" s="530">
        <f t="shared" si="4"/>
        <v>0</v>
      </c>
      <c r="T54" s="531">
        <f t="shared" si="5"/>
        <v>0</v>
      </c>
      <c r="U54" s="818"/>
      <c r="V54" s="821"/>
      <c r="W54" s="821"/>
      <c r="X54" s="821"/>
      <c r="Y54" s="822"/>
      <c r="Z54" s="530"/>
      <c r="AA54" s="531">
        <f t="shared" si="1"/>
        <v>0</v>
      </c>
      <c r="AB54" s="825"/>
      <c r="AC54" s="821"/>
      <c r="AD54" s="822"/>
      <c r="AE54" s="530"/>
    </row>
    <row r="55" spans="1:32" s="536" customFormat="1" ht="24">
      <c r="A55" s="590">
        <f t="shared" si="12"/>
        <v>36</v>
      </c>
      <c r="B55" s="883">
        <v>8</v>
      </c>
      <c r="C55" s="437" t="s">
        <v>713</v>
      </c>
      <c r="D55" s="1028" t="s">
        <v>1306</v>
      </c>
      <c r="E55" s="1025" t="s">
        <v>1268</v>
      </c>
      <c r="F55" s="1029" t="s">
        <v>1305</v>
      </c>
      <c r="G55" s="530">
        <f t="shared" si="2"/>
        <v>0</v>
      </c>
      <c r="H55" s="531">
        <f>+I55+J55+K55+L55</f>
        <v>0</v>
      </c>
      <c r="I55" s="818"/>
      <c r="J55" s="819"/>
      <c r="K55" s="819"/>
      <c r="L55" s="1020"/>
      <c r="M55" s="530"/>
      <c r="N55" s="531">
        <f>+O55+P55+Q55</f>
        <v>0</v>
      </c>
      <c r="O55" s="818"/>
      <c r="P55" s="819"/>
      <c r="Q55" s="820"/>
      <c r="R55" s="530"/>
      <c r="S55" s="530">
        <f t="shared" si="4"/>
        <v>0</v>
      </c>
      <c r="T55" s="531">
        <f>+U55+V55+W55+X55+Y55</f>
        <v>0</v>
      </c>
      <c r="U55" s="818"/>
      <c r="V55" s="821"/>
      <c r="W55" s="821"/>
      <c r="X55" s="821"/>
      <c r="Y55" s="822"/>
      <c r="Z55" s="530"/>
      <c r="AA55" s="531">
        <f t="shared" si="1"/>
        <v>0</v>
      </c>
      <c r="AB55" s="825"/>
      <c r="AC55" s="821"/>
      <c r="AD55" s="822"/>
      <c r="AE55" s="530"/>
    </row>
    <row r="56" spans="1:32" s="536" customFormat="1">
      <c r="A56" s="590">
        <f t="shared" si="12"/>
        <v>37</v>
      </c>
      <c r="B56" s="884">
        <v>8</v>
      </c>
      <c r="C56" s="369" t="s">
        <v>1307</v>
      </c>
      <c r="D56" s="1022" t="s">
        <v>1309</v>
      </c>
      <c r="E56" s="1025" t="s">
        <v>1265</v>
      </c>
      <c r="F56" s="1027" t="s">
        <v>1308</v>
      </c>
      <c r="G56" s="530">
        <f t="shared" si="2"/>
        <v>0</v>
      </c>
      <c r="H56" s="531">
        <f t="shared" si="0"/>
        <v>0</v>
      </c>
      <c r="I56" s="818"/>
      <c r="J56" s="819"/>
      <c r="K56" s="819"/>
      <c r="L56" s="1020"/>
      <c r="M56" s="530"/>
      <c r="N56" s="531">
        <f t="shared" si="3"/>
        <v>0</v>
      </c>
      <c r="O56" s="818"/>
      <c r="P56" s="819"/>
      <c r="Q56" s="820"/>
      <c r="R56" s="530"/>
      <c r="S56" s="530">
        <f t="shared" si="4"/>
        <v>0</v>
      </c>
      <c r="T56" s="531">
        <f t="shared" si="5"/>
        <v>0</v>
      </c>
      <c r="U56" s="818"/>
      <c r="V56" s="821"/>
      <c r="W56" s="821"/>
      <c r="X56" s="821"/>
      <c r="Y56" s="822"/>
      <c r="Z56" s="530"/>
      <c r="AA56" s="531">
        <f t="shared" si="1"/>
        <v>0</v>
      </c>
      <c r="AB56" s="825"/>
      <c r="AC56" s="821"/>
      <c r="AD56" s="822"/>
      <c r="AE56" s="530"/>
    </row>
    <row r="57" spans="1:32" s="536" customFormat="1">
      <c r="A57" s="590">
        <f>+A56+1</f>
        <v>38</v>
      </c>
      <c r="B57" s="884">
        <v>8</v>
      </c>
      <c r="C57" s="369" t="s">
        <v>713</v>
      </c>
      <c r="D57" s="1022" t="s">
        <v>1311</v>
      </c>
      <c r="E57" s="1025" t="s">
        <v>1268</v>
      </c>
      <c r="F57" s="1027" t="s">
        <v>1310</v>
      </c>
      <c r="G57" s="530">
        <f t="shared" si="2"/>
        <v>0</v>
      </c>
      <c r="H57" s="531">
        <f t="shared" si="0"/>
        <v>0</v>
      </c>
      <c r="I57" s="818"/>
      <c r="J57" s="819"/>
      <c r="K57" s="819"/>
      <c r="L57" s="1020"/>
      <c r="M57" s="530"/>
      <c r="N57" s="531">
        <f t="shared" si="3"/>
        <v>0</v>
      </c>
      <c r="O57" s="818"/>
      <c r="P57" s="819"/>
      <c r="Q57" s="820"/>
      <c r="R57" s="530"/>
      <c r="S57" s="530">
        <f t="shared" si="4"/>
        <v>0</v>
      </c>
      <c r="T57" s="531">
        <f>+U57+V57+W57+X57+Y57</f>
        <v>0</v>
      </c>
      <c r="U57" s="818"/>
      <c r="V57" s="821"/>
      <c r="W57" s="821"/>
      <c r="X57" s="821"/>
      <c r="Y57" s="822"/>
      <c r="Z57" s="530"/>
      <c r="AA57" s="531">
        <f t="shared" si="1"/>
        <v>0</v>
      </c>
      <c r="AB57" s="825"/>
      <c r="AC57" s="821"/>
      <c r="AD57" s="822"/>
      <c r="AE57" s="530"/>
    </row>
    <row r="58" spans="1:32" s="536" customFormat="1">
      <c r="A58" s="590">
        <f t="shared" si="12"/>
        <v>39</v>
      </c>
      <c r="B58" s="884">
        <v>8</v>
      </c>
      <c r="C58" s="369" t="s">
        <v>1038</v>
      </c>
      <c r="D58" s="1022" t="s">
        <v>1312</v>
      </c>
      <c r="E58" s="1025" t="s">
        <v>1285</v>
      </c>
      <c r="F58" s="1027" t="s">
        <v>1313</v>
      </c>
      <c r="G58" s="530">
        <f t="shared" si="2"/>
        <v>0</v>
      </c>
      <c r="H58" s="531">
        <f t="shared" si="0"/>
        <v>0</v>
      </c>
      <c r="I58" s="818"/>
      <c r="J58" s="819"/>
      <c r="K58" s="819"/>
      <c r="L58" s="1020"/>
      <c r="M58" s="530"/>
      <c r="N58" s="531">
        <f t="shared" si="3"/>
        <v>0</v>
      </c>
      <c r="O58" s="818"/>
      <c r="P58" s="819"/>
      <c r="Q58" s="820"/>
      <c r="R58" s="530"/>
      <c r="S58" s="530">
        <f t="shared" si="4"/>
        <v>0</v>
      </c>
      <c r="T58" s="531">
        <f t="shared" si="5"/>
        <v>0</v>
      </c>
      <c r="U58" s="818"/>
      <c r="V58" s="821"/>
      <c r="W58" s="821"/>
      <c r="X58" s="821"/>
      <c r="Y58" s="822"/>
      <c r="Z58" s="530"/>
      <c r="AA58" s="531">
        <f t="shared" si="1"/>
        <v>0</v>
      </c>
      <c r="AB58" s="825"/>
      <c r="AC58" s="821"/>
      <c r="AD58" s="822"/>
      <c r="AE58" s="530"/>
    </row>
    <row r="59" spans="1:32">
      <c r="A59" s="590">
        <f t="shared" si="12"/>
        <v>40</v>
      </c>
      <c r="B59" s="884">
        <v>6</v>
      </c>
      <c r="C59" s="369" t="s">
        <v>708</v>
      </c>
      <c r="D59" s="1022" t="s">
        <v>1198</v>
      </c>
      <c r="E59" s="1033" t="s">
        <v>1265</v>
      </c>
      <c r="F59" s="1027" t="s">
        <v>1199</v>
      </c>
      <c r="G59" s="530">
        <f t="shared" si="2"/>
        <v>0</v>
      </c>
      <c r="H59" s="531">
        <f t="shared" si="0"/>
        <v>0</v>
      </c>
      <c r="I59" s="818"/>
      <c r="J59" s="819"/>
      <c r="K59" s="819"/>
      <c r="L59" s="1020"/>
      <c r="M59" s="530"/>
      <c r="N59" s="531">
        <f t="shared" si="3"/>
        <v>0</v>
      </c>
      <c r="O59" s="818"/>
      <c r="P59" s="819"/>
      <c r="Q59" s="820"/>
      <c r="R59" s="530"/>
      <c r="S59" s="530">
        <f t="shared" si="4"/>
        <v>0</v>
      </c>
      <c r="T59" s="531">
        <f>+U59+V59+W59+X59+Y59</f>
        <v>0</v>
      </c>
      <c r="U59" s="818"/>
      <c r="V59" s="821"/>
      <c r="W59" s="821"/>
      <c r="X59" s="821"/>
      <c r="Y59" s="822"/>
      <c r="Z59" s="530"/>
      <c r="AA59" s="531">
        <f t="shared" si="1"/>
        <v>0</v>
      </c>
      <c r="AB59" s="825"/>
      <c r="AC59" s="821"/>
      <c r="AD59" s="822"/>
      <c r="AE59" s="530"/>
    </row>
    <row r="60" spans="1:32">
      <c r="A60" s="590">
        <f t="shared" si="12"/>
        <v>41</v>
      </c>
      <c r="B60" s="884">
        <v>6</v>
      </c>
      <c r="C60" s="369" t="s">
        <v>1023</v>
      </c>
      <c r="D60" s="1022" t="s">
        <v>1024</v>
      </c>
      <c r="E60" s="1025" t="s">
        <v>1265</v>
      </c>
      <c r="F60" s="1027" t="s">
        <v>1025</v>
      </c>
      <c r="G60" s="530">
        <f t="shared" si="2"/>
        <v>0</v>
      </c>
      <c r="H60" s="531">
        <f t="shared" si="0"/>
        <v>0</v>
      </c>
      <c r="I60" s="818"/>
      <c r="J60" s="819"/>
      <c r="K60" s="819"/>
      <c r="L60" s="1020"/>
      <c r="M60" s="530"/>
      <c r="N60" s="531">
        <f t="shared" si="3"/>
        <v>0</v>
      </c>
      <c r="O60" s="818"/>
      <c r="P60" s="819"/>
      <c r="Q60" s="820"/>
      <c r="R60" s="530"/>
      <c r="S60" s="530">
        <f t="shared" si="4"/>
        <v>0</v>
      </c>
      <c r="T60" s="531">
        <f t="shared" si="5"/>
        <v>0</v>
      </c>
      <c r="U60" s="818"/>
      <c r="V60" s="821"/>
      <c r="W60" s="821"/>
      <c r="X60" s="821"/>
      <c r="Y60" s="822"/>
      <c r="Z60" s="530"/>
      <c r="AA60" s="531">
        <f t="shared" si="1"/>
        <v>0</v>
      </c>
      <c r="AB60" s="825"/>
      <c r="AC60" s="821"/>
      <c r="AD60" s="822"/>
      <c r="AE60" s="530"/>
    </row>
    <row r="61" spans="1:32">
      <c r="A61" s="590">
        <f t="shared" si="12"/>
        <v>42</v>
      </c>
      <c r="B61" s="884">
        <v>6</v>
      </c>
      <c r="C61" s="369" t="s">
        <v>1026</v>
      </c>
      <c r="D61" s="1022" t="s">
        <v>1027</v>
      </c>
      <c r="E61" s="1025" t="s">
        <v>1265</v>
      </c>
      <c r="F61" s="1027" t="s">
        <v>1027</v>
      </c>
      <c r="G61" s="530">
        <f t="shared" si="2"/>
        <v>0</v>
      </c>
      <c r="H61" s="531">
        <f>+I61+J61+K61+L61</f>
        <v>0</v>
      </c>
      <c r="I61" s="818"/>
      <c r="J61" s="819"/>
      <c r="K61" s="819"/>
      <c r="L61" s="1020"/>
      <c r="M61" s="530"/>
      <c r="N61" s="531">
        <f>+O61+P61+Q61</f>
        <v>0</v>
      </c>
      <c r="O61" s="818"/>
      <c r="P61" s="819"/>
      <c r="Q61" s="820"/>
      <c r="R61" s="530"/>
      <c r="S61" s="530">
        <f t="shared" si="4"/>
        <v>0</v>
      </c>
      <c r="T61" s="531">
        <f>+U61+V61+W61+X61+Y61</f>
        <v>0</v>
      </c>
      <c r="U61" s="818"/>
      <c r="V61" s="821"/>
      <c r="W61" s="821"/>
      <c r="X61" s="821"/>
      <c r="Y61" s="822"/>
      <c r="Z61" s="530"/>
      <c r="AA61" s="531">
        <f t="shared" si="1"/>
        <v>0</v>
      </c>
      <c r="AB61" s="825"/>
      <c r="AC61" s="821"/>
      <c r="AD61" s="822"/>
      <c r="AE61" s="530"/>
    </row>
    <row r="62" spans="1:32">
      <c r="A62" s="590">
        <f t="shared" si="12"/>
        <v>43</v>
      </c>
      <c r="B62" s="884">
        <v>6</v>
      </c>
      <c r="C62" s="369" t="s">
        <v>711</v>
      </c>
      <c r="D62" s="1022" t="s">
        <v>712</v>
      </c>
      <c r="E62" s="1025" t="s">
        <v>1271</v>
      </c>
      <c r="F62" s="1027" t="s">
        <v>712</v>
      </c>
      <c r="G62" s="530">
        <f t="shared" si="2"/>
        <v>0</v>
      </c>
      <c r="H62" s="531">
        <f t="shared" si="0"/>
        <v>0</v>
      </c>
      <c r="I62" s="818"/>
      <c r="J62" s="819"/>
      <c r="K62" s="819"/>
      <c r="L62" s="1020"/>
      <c r="M62" s="530"/>
      <c r="N62" s="531">
        <f t="shared" si="3"/>
        <v>0</v>
      </c>
      <c r="O62" s="818"/>
      <c r="P62" s="819"/>
      <c r="Q62" s="820"/>
      <c r="R62" s="530"/>
      <c r="S62" s="530">
        <f t="shared" si="4"/>
        <v>0</v>
      </c>
      <c r="T62" s="531">
        <f t="shared" si="5"/>
        <v>0</v>
      </c>
      <c r="U62" s="818"/>
      <c r="V62" s="821"/>
      <c r="W62" s="821"/>
      <c r="X62" s="821"/>
      <c r="Y62" s="822"/>
      <c r="Z62" s="530"/>
      <c r="AA62" s="531">
        <f t="shared" si="1"/>
        <v>0</v>
      </c>
      <c r="AB62" s="825"/>
      <c r="AC62" s="821"/>
      <c r="AD62" s="822"/>
      <c r="AE62" s="530"/>
    </row>
    <row r="63" spans="1:32" s="1087" customFormat="1">
      <c r="A63" s="1382" t="str">
        <f>+$E$198&amp;". "&amp;$F$198</f>
        <v>8. Markóth F. kórház elszámolás (járóbeteg szakellátás pályázat)</v>
      </c>
      <c r="B63" s="1383"/>
      <c r="C63" s="1383"/>
      <c r="D63" s="1383"/>
      <c r="E63" s="1383"/>
      <c r="F63" s="1384"/>
      <c r="G63" s="1080">
        <f>+H63+M63+N63+R63</f>
        <v>8900</v>
      </c>
      <c r="H63" s="1081">
        <f>+I63+J63+K63+L63</f>
        <v>8900</v>
      </c>
      <c r="I63" s="868">
        <v>8900</v>
      </c>
      <c r="J63" s="869"/>
      <c r="K63" s="869"/>
      <c r="L63" s="1082"/>
      <c r="M63" s="1080"/>
      <c r="N63" s="1081">
        <f>+O63+P63+Q63</f>
        <v>0</v>
      </c>
      <c r="O63" s="868"/>
      <c r="P63" s="869"/>
      <c r="Q63" s="870"/>
      <c r="R63" s="1080"/>
      <c r="S63" s="1080">
        <f>+T63+Z63+AA63+AE63</f>
        <v>8900</v>
      </c>
      <c r="T63" s="1081">
        <f>+U63+V63+W63+X63+Y63</f>
        <v>8900</v>
      </c>
      <c r="U63" s="868"/>
      <c r="V63" s="1083"/>
      <c r="W63" s="1083">
        <v>8900</v>
      </c>
      <c r="X63" s="1083"/>
      <c r="Y63" s="1084"/>
      <c r="Z63" s="1080"/>
      <c r="AA63" s="1081">
        <f t="shared" ref="AA63:AA95" si="18">+AB63+AC63+AD63</f>
        <v>0</v>
      </c>
      <c r="AB63" s="1085"/>
      <c r="AC63" s="1083"/>
      <c r="AD63" s="1084"/>
      <c r="AE63" s="1080"/>
      <c r="AF63" s="1086">
        <f>-G63+S63</f>
        <v>0</v>
      </c>
    </row>
    <row r="64" spans="1:32">
      <c r="A64" s="590">
        <f>+A62+1</f>
        <v>44</v>
      </c>
      <c r="B64" s="884">
        <v>6</v>
      </c>
      <c r="C64" s="369" t="s">
        <v>1030</v>
      </c>
      <c r="D64" s="1022" t="s">
        <v>1028</v>
      </c>
      <c r="E64" s="1025" t="s">
        <v>1273</v>
      </c>
      <c r="F64" s="1027" t="s">
        <v>1028</v>
      </c>
      <c r="G64" s="530">
        <f t="shared" si="2"/>
        <v>0</v>
      </c>
      <c r="H64" s="531">
        <f t="shared" si="0"/>
        <v>0</v>
      </c>
      <c r="I64" s="818"/>
      <c r="J64" s="819"/>
      <c r="K64" s="819"/>
      <c r="L64" s="1020"/>
      <c r="M64" s="530"/>
      <c r="N64" s="531">
        <f t="shared" si="3"/>
        <v>0</v>
      </c>
      <c r="O64" s="818"/>
      <c r="P64" s="819"/>
      <c r="Q64" s="820"/>
      <c r="R64" s="530"/>
      <c r="S64" s="530">
        <f t="shared" si="4"/>
        <v>0</v>
      </c>
      <c r="T64" s="531">
        <f t="shared" si="5"/>
        <v>0</v>
      </c>
      <c r="U64" s="818"/>
      <c r="V64" s="821"/>
      <c r="W64" s="821"/>
      <c r="X64" s="821"/>
      <c r="Y64" s="822"/>
      <c r="Z64" s="530"/>
      <c r="AA64" s="531">
        <f t="shared" si="18"/>
        <v>0</v>
      </c>
      <c r="AB64" s="825"/>
      <c r="AC64" s="821"/>
      <c r="AD64" s="822"/>
      <c r="AE64" s="530"/>
    </row>
    <row r="65" spans="1:32">
      <c r="A65" s="590">
        <f t="shared" si="12"/>
        <v>45</v>
      </c>
      <c r="B65" s="884">
        <v>6</v>
      </c>
      <c r="C65" s="369" t="s">
        <v>1031</v>
      </c>
      <c r="D65" s="1022" t="s">
        <v>1029</v>
      </c>
      <c r="E65" s="1025" t="s">
        <v>1265</v>
      </c>
      <c r="F65" s="1027" t="s">
        <v>1032</v>
      </c>
      <c r="G65" s="530">
        <f t="shared" si="2"/>
        <v>0</v>
      </c>
      <c r="H65" s="531">
        <f t="shared" si="0"/>
        <v>0</v>
      </c>
      <c r="I65" s="818"/>
      <c r="J65" s="819"/>
      <c r="K65" s="819"/>
      <c r="L65" s="1020"/>
      <c r="M65" s="530"/>
      <c r="N65" s="531">
        <f t="shared" si="3"/>
        <v>0</v>
      </c>
      <c r="O65" s="818"/>
      <c r="P65" s="819"/>
      <c r="Q65" s="820"/>
      <c r="R65" s="530"/>
      <c r="S65" s="530">
        <f t="shared" si="4"/>
        <v>0</v>
      </c>
      <c r="T65" s="531">
        <f t="shared" si="5"/>
        <v>0</v>
      </c>
      <c r="U65" s="818"/>
      <c r="V65" s="821"/>
      <c r="W65" s="821"/>
      <c r="X65" s="821"/>
      <c r="Y65" s="822"/>
      <c r="Z65" s="530"/>
      <c r="AA65" s="531">
        <f t="shared" si="18"/>
        <v>0</v>
      </c>
      <c r="AB65" s="825"/>
      <c r="AC65" s="821"/>
      <c r="AD65" s="822"/>
      <c r="AE65" s="530"/>
    </row>
    <row r="66" spans="1:32">
      <c r="A66" s="590">
        <f t="shared" si="12"/>
        <v>46</v>
      </c>
      <c r="B66" s="885">
        <v>8</v>
      </c>
      <c r="C66" s="366" t="s">
        <v>1033</v>
      </c>
      <c r="D66" s="1030" t="s">
        <v>1034</v>
      </c>
      <c r="E66" s="1031" t="s">
        <v>1265</v>
      </c>
      <c r="F66" s="1032" t="s">
        <v>1034</v>
      </c>
      <c r="G66" s="534">
        <f t="shared" si="2"/>
        <v>0</v>
      </c>
      <c r="H66" s="535">
        <f t="shared" si="0"/>
        <v>0</v>
      </c>
      <c r="I66" s="818"/>
      <c r="J66" s="819"/>
      <c r="K66" s="819"/>
      <c r="L66" s="1020"/>
      <c r="M66" s="534"/>
      <c r="N66" s="535">
        <f t="shared" si="3"/>
        <v>0</v>
      </c>
      <c r="O66" s="818"/>
      <c r="P66" s="819"/>
      <c r="Q66" s="820"/>
      <c r="R66" s="534"/>
      <c r="S66" s="530">
        <f t="shared" si="4"/>
        <v>0</v>
      </c>
      <c r="T66" s="531">
        <f t="shared" si="5"/>
        <v>0</v>
      </c>
      <c r="U66" s="818"/>
      <c r="V66" s="821"/>
      <c r="W66" s="821"/>
      <c r="X66" s="821"/>
      <c r="Y66" s="822"/>
      <c r="Z66" s="534"/>
      <c r="AA66" s="531">
        <f t="shared" si="18"/>
        <v>0</v>
      </c>
      <c r="AB66" s="825"/>
      <c r="AC66" s="821"/>
      <c r="AD66" s="822"/>
      <c r="AE66" s="534"/>
    </row>
    <row r="67" spans="1:32">
      <c r="A67" s="590">
        <f t="shared" si="12"/>
        <v>47</v>
      </c>
      <c r="B67" s="885">
        <v>8</v>
      </c>
      <c r="C67" s="366" t="s">
        <v>739</v>
      </c>
      <c r="D67" s="1030" t="s">
        <v>737</v>
      </c>
      <c r="E67" s="1031" t="s">
        <v>1274</v>
      </c>
      <c r="F67" s="1032" t="s">
        <v>666</v>
      </c>
      <c r="G67" s="534">
        <f t="shared" si="2"/>
        <v>0</v>
      </c>
      <c r="H67" s="535">
        <f t="shared" si="0"/>
        <v>0</v>
      </c>
      <c r="I67" s="818"/>
      <c r="J67" s="819"/>
      <c r="K67" s="819"/>
      <c r="L67" s="1020"/>
      <c r="M67" s="534"/>
      <c r="N67" s="535">
        <f t="shared" si="3"/>
        <v>0</v>
      </c>
      <c r="O67" s="818"/>
      <c r="P67" s="819"/>
      <c r="Q67" s="820"/>
      <c r="R67" s="534"/>
      <c r="S67" s="530">
        <f t="shared" si="4"/>
        <v>0</v>
      </c>
      <c r="T67" s="531">
        <f t="shared" si="5"/>
        <v>0</v>
      </c>
      <c r="U67" s="818"/>
      <c r="V67" s="821"/>
      <c r="W67" s="821"/>
      <c r="X67" s="821"/>
      <c r="Y67" s="822"/>
      <c r="Z67" s="534"/>
      <c r="AA67" s="531">
        <f t="shared" si="18"/>
        <v>0</v>
      </c>
      <c r="AB67" s="825"/>
      <c r="AC67" s="821"/>
      <c r="AD67" s="822"/>
      <c r="AE67" s="534"/>
    </row>
    <row r="68" spans="1:32">
      <c r="A68" s="590">
        <f t="shared" si="12"/>
        <v>48</v>
      </c>
      <c r="B68" s="884">
        <v>6</v>
      </c>
      <c r="C68" s="369" t="s">
        <v>740</v>
      </c>
      <c r="D68" s="1022" t="s">
        <v>738</v>
      </c>
      <c r="E68" s="1025" t="s">
        <v>1265</v>
      </c>
      <c r="F68" s="1027" t="s">
        <v>662</v>
      </c>
      <c r="G68" s="530">
        <f t="shared" si="2"/>
        <v>0</v>
      </c>
      <c r="H68" s="531">
        <f>+I68+J68+K68+L68</f>
        <v>0</v>
      </c>
      <c r="I68" s="825"/>
      <c r="J68" s="821"/>
      <c r="K68" s="821"/>
      <c r="L68" s="1034"/>
      <c r="M68" s="530"/>
      <c r="N68" s="531">
        <f>+O68+P68+Q68</f>
        <v>0</v>
      </c>
      <c r="O68" s="825"/>
      <c r="P68" s="821"/>
      <c r="Q68" s="822"/>
      <c r="R68" s="530"/>
      <c r="S68" s="530">
        <f t="shared" si="4"/>
        <v>0</v>
      </c>
      <c r="T68" s="531">
        <f t="shared" si="5"/>
        <v>0</v>
      </c>
      <c r="U68" s="825"/>
      <c r="V68" s="821"/>
      <c r="W68" s="821"/>
      <c r="X68" s="821"/>
      <c r="Y68" s="822"/>
      <c r="Z68" s="530"/>
      <c r="AA68" s="531">
        <f t="shared" si="18"/>
        <v>0</v>
      </c>
      <c r="AB68" s="825"/>
      <c r="AC68" s="821"/>
      <c r="AD68" s="822"/>
      <c r="AE68" s="530"/>
    </row>
    <row r="69" spans="1:32" s="1087" customFormat="1">
      <c r="A69" s="1388" t="str">
        <f>+$E$199&amp;". "&amp;$F$199</f>
        <v>9. Önkormányzati céltámogatások felülvizsgálata</v>
      </c>
      <c r="B69" s="1389"/>
      <c r="C69" s="1389"/>
      <c r="D69" s="1389"/>
      <c r="E69" s="1389"/>
      <c r="F69" s="1390"/>
      <c r="G69" s="1080">
        <f>+H69+M69+N69+R69</f>
        <v>0</v>
      </c>
      <c r="H69" s="1081">
        <f>+I69+J69+K69+L69</f>
        <v>0</v>
      </c>
      <c r="I69" s="868"/>
      <c r="J69" s="869"/>
      <c r="K69" s="869"/>
      <c r="L69" s="1082"/>
      <c r="M69" s="1080"/>
      <c r="N69" s="1081">
        <f>+O69+P69+Q69</f>
        <v>0</v>
      </c>
      <c r="O69" s="868"/>
      <c r="P69" s="869"/>
      <c r="Q69" s="870"/>
      <c r="R69" s="1080"/>
      <c r="S69" s="1080">
        <f>+T69+Z69+AA69+AE69</f>
        <v>-300</v>
      </c>
      <c r="T69" s="1081">
        <f>+U69+V69+W69+X69+Y69</f>
        <v>-300</v>
      </c>
      <c r="U69" s="868"/>
      <c r="V69" s="1088"/>
      <c r="W69" s="1088"/>
      <c r="X69" s="1088"/>
      <c r="Y69" s="1089">
        <f>-1650+1150+200</f>
        <v>-300</v>
      </c>
      <c r="Z69" s="1080"/>
      <c r="AA69" s="1081">
        <f t="shared" si="18"/>
        <v>0</v>
      </c>
      <c r="AB69" s="1090"/>
      <c r="AC69" s="1088"/>
      <c r="AD69" s="1089"/>
      <c r="AE69" s="1080"/>
      <c r="AF69" s="1086">
        <f>-G69+S69</f>
        <v>-300</v>
      </c>
    </row>
    <row r="70" spans="1:32">
      <c r="A70" s="590">
        <f>+A68+1</f>
        <v>49</v>
      </c>
      <c r="B70" s="885">
        <v>6</v>
      </c>
      <c r="C70" s="366" t="s">
        <v>1035</v>
      </c>
      <c r="D70" s="1030" t="s">
        <v>1036</v>
      </c>
      <c r="E70" s="1031" t="s">
        <v>1265</v>
      </c>
      <c r="F70" s="1032" t="s">
        <v>1036</v>
      </c>
      <c r="G70" s="534">
        <f t="shared" ref="G70:G72" si="19">+H70+M70+N70+R70</f>
        <v>0</v>
      </c>
      <c r="H70" s="535">
        <f t="shared" ref="H70:H77" si="20">+I70+J70+K70+L70</f>
        <v>0</v>
      </c>
      <c r="I70" s="818"/>
      <c r="J70" s="819"/>
      <c r="K70" s="819"/>
      <c r="L70" s="1020"/>
      <c r="M70" s="534"/>
      <c r="N70" s="535">
        <f t="shared" ref="N70:N77" si="21">+O70+P70+Q70</f>
        <v>0</v>
      </c>
      <c r="O70" s="818"/>
      <c r="P70" s="819"/>
      <c r="Q70" s="820"/>
      <c r="R70" s="534"/>
      <c r="S70" s="530">
        <f t="shared" ref="S70:S72" si="22">+T70+Z70+AA70+AE70</f>
        <v>0</v>
      </c>
      <c r="T70" s="531">
        <f t="shared" ref="T70:T77" si="23">+U70+V70+W70+X70+Y70</f>
        <v>0</v>
      </c>
      <c r="U70" s="818"/>
      <c r="V70" s="821"/>
      <c r="W70" s="821"/>
      <c r="X70" s="821"/>
      <c r="Y70" s="822"/>
      <c r="Z70" s="534"/>
      <c r="AA70" s="531">
        <f t="shared" ref="AA70:AA72" si="24">+AB70+AC70+AD70</f>
        <v>0</v>
      </c>
      <c r="AB70" s="825"/>
      <c r="AC70" s="821"/>
      <c r="AD70" s="822"/>
      <c r="AE70" s="534"/>
    </row>
    <row r="71" spans="1:32">
      <c r="A71" s="590">
        <f t="shared" si="12"/>
        <v>50</v>
      </c>
      <c r="B71" s="885">
        <v>6</v>
      </c>
      <c r="C71" s="366" t="s">
        <v>688</v>
      </c>
      <c r="D71" s="1030" t="s">
        <v>687</v>
      </c>
      <c r="E71" s="1031" t="s">
        <v>1265</v>
      </c>
      <c r="F71" s="1032" t="s">
        <v>1046</v>
      </c>
      <c r="G71" s="534">
        <f t="shared" si="19"/>
        <v>0</v>
      </c>
      <c r="H71" s="535">
        <f t="shared" si="20"/>
        <v>0</v>
      </c>
      <c r="I71" s="818"/>
      <c r="J71" s="819"/>
      <c r="K71" s="819"/>
      <c r="L71" s="1020"/>
      <c r="M71" s="534"/>
      <c r="N71" s="535">
        <f t="shared" si="21"/>
        <v>0</v>
      </c>
      <c r="O71" s="818"/>
      <c r="P71" s="819"/>
      <c r="Q71" s="820"/>
      <c r="R71" s="534"/>
      <c r="S71" s="530">
        <f t="shared" si="22"/>
        <v>0</v>
      </c>
      <c r="T71" s="531">
        <f t="shared" si="23"/>
        <v>0</v>
      </c>
      <c r="U71" s="818"/>
      <c r="V71" s="821"/>
      <c r="W71" s="821"/>
      <c r="X71" s="821"/>
      <c r="Y71" s="822"/>
      <c r="Z71" s="534"/>
      <c r="AA71" s="531">
        <f t="shared" si="24"/>
        <v>0</v>
      </c>
      <c r="AB71" s="825"/>
      <c r="AC71" s="821"/>
      <c r="AD71" s="822"/>
      <c r="AE71" s="534"/>
    </row>
    <row r="72" spans="1:32">
      <c r="A72" s="590">
        <f t="shared" si="12"/>
        <v>51</v>
      </c>
      <c r="B72" s="885">
        <v>6</v>
      </c>
      <c r="C72" s="366" t="s">
        <v>694</v>
      </c>
      <c r="D72" s="1030" t="s">
        <v>693</v>
      </c>
      <c r="E72" s="1031" t="s">
        <v>1265</v>
      </c>
      <c r="F72" s="1032" t="s">
        <v>1048</v>
      </c>
      <c r="G72" s="534">
        <f t="shared" si="19"/>
        <v>0</v>
      </c>
      <c r="H72" s="535">
        <f t="shared" si="20"/>
        <v>0</v>
      </c>
      <c r="I72" s="818"/>
      <c r="J72" s="819"/>
      <c r="K72" s="819"/>
      <c r="L72" s="1020"/>
      <c r="M72" s="534"/>
      <c r="N72" s="535">
        <f t="shared" si="21"/>
        <v>0</v>
      </c>
      <c r="O72" s="818"/>
      <c r="P72" s="819"/>
      <c r="Q72" s="820"/>
      <c r="R72" s="534"/>
      <c r="S72" s="530">
        <f t="shared" si="22"/>
        <v>0</v>
      </c>
      <c r="T72" s="531">
        <f t="shared" si="23"/>
        <v>0</v>
      </c>
      <c r="U72" s="818"/>
      <c r="V72" s="821"/>
      <c r="W72" s="821"/>
      <c r="X72" s="821"/>
      <c r="Y72" s="822"/>
      <c r="Z72" s="534"/>
      <c r="AA72" s="531">
        <f t="shared" si="24"/>
        <v>0</v>
      </c>
      <c r="AB72" s="825"/>
      <c r="AC72" s="821"/>
      <c r="AD72" s="822"/>
      <c r="AE72" s="534"/>
    </row>
    <row r="73" spans="1:32">
      <c r="A73" s="590">
        <f t="shared" si="12"/>
        <v>52</v>
      </c>
      <c r="B73" s="885">
        <v>8</v>
      </c>
      <c r="C73" s="366" t="s">
        <v>1045</v>
      </c>
      <c r="D73" s="1030" t="s">
        <v>1044</v>
      </c>
      <c r="E73" s="1031" t="s">
        <v>1275</v>
      </c>
      <c r="F73" s="1032" t="s">
        <v>1044</v>
      </c>
      <c r="G73" s="530">
        <f>+H73+M73+N73+R73</f>
        <v>0</v>
      </c>
      <c r="H73" s="531">
        <f t="shared" si="20"/>
        <v>0</v>
      </c>
      <c r="I73" s="825"/>
      <c r="J73" s="821"/>
      <c r="K73" s="821"/>
      <c r="L73" s="1034"/>
      <c r="M73" s="530"/>
      <c r="N73" s="531">
        <f t="shared" si="21"/>
        <v>0</v>
      </c>
      <c r="O73" s="825"/>
      <c r="P73" s="821"/>
      <c r="Q73" s="822"/>
      <c r="R73" s="530"/>
      <c r="S73" s="530">
        <f>+T73+Z73+AA73+AE73</f>
        <v>0</v>
      </c>
      <c r="T73" s="531">
        <f t="shared" si="23"/>
        <v>0</v>
      </c>
      <c r="U73" s="825"/>
      <c r="V73" s="821"/>
      <c r="W73" s="821"/>
      <c r="X73" s="821"/>
      <c r="Y73" s="822"/>
      <c r="Z73" s="530"/>
      <c r="AA73" s="531">
        <f>+AB73+AC73+AD73</f>
        <v>0</v>
      </c>
      <c r="AB73" s="825"/>
      <c r="AC73" s="821"/>
      <c r="AD73" s="822"/>
      <c r="AE73" s="530"/>
    </row>
    <row r="74" spans="1:32">
      <c r="A74" s="590">
        <f t="shared" si="12"/>
        <v>53</v>
      </c>
      <c r="B74" s="885">
        <v>8</v>
      </c>
      <c r="C74" s="366" t="s">
        <v>690</v>
      </c>
      <c r="D74" s="1030" t="s">
        <v>689</v>
      </c>
      <c r="E74" s="1031" t="s">
        <v>1265</v>
      </c>
      <c r="F74" s="1032" t="s">
        <v>646</v>
      </c>
      <c r="G74" s="530">
        <f t="shared" ref="G74" si="25">+H74+M74+N74+R74</f>
        <v>0</v>
      </c>
      <c r="H74" s="531">
        <f t="shared" si="20"/>
        <v>0</v>
      </c>
      <c r="I74" s="825"/>
      <c r="J74" s="821"/>
      <c r="K74" s="821"/>
      <c r="L74" s="1034"/>
      <c r="M74" s="530"/>
      <c r="N74" s="531">
        <f t="shared" si="21"/>
        <v>0</v>
      </c>
      <c r="O74" s="825"/>
      <c r="P74" s="821"/>
      <c r="Q74" s="822"/>
      <c r="R74" s="530"/>
      <c r="S74" s="530">
        <f t="shared" ref="S74" si="26">+T74+Z74+AA74+AE74</f>
        <v>0</v>
      </c>
      <c r="T74" s="531">
        <f t="shared" si="23"/>
        <v>0</v>
      </c>
      <c r="U74" s="825"/>
      <c r="V74" s="821"/>
      <c r="W74" s="821"/>
      <c r="X74" s="821"/>
      <c r="Y74" s="822"/>
      <c r="Z74" s="530"/>
      <c r="AA74" s="531">
        <f t="shared" ref="AA74" si="27">+AB74+AC74+AD74</f>
        <v>0</v>
      </c>
      <c r="AB74" s="825"/>
      <c r="AC74" s="821"/>
      <c r="AD74" s="822"/>
      <c r="AE74" s="530"/>
    </row>
    <row r="75" spans="1:32">
      <c r="A75" s="590">
        <f t="shared" si="12"/>
        <v>54</v>
      </c>
      <c r="B75" s="885">
        <v>8</v>
      </c>
      <c r="C75" s="366" t="s">
        <v>690</v>
      </c>
      <c r="D75" s="1030" t="s">
        <v>689</v>
      </c>
      <c r="E75" s="1031" t="s">
        <v>1265</v>
      </c>
      <c r="F75" s="1032" t="s">
        <v>647</v>
      </c>
      <c r="G75" s="530">
        <f>+H75+M75+N75+R75</f>
        <v>0</v>
      </c>
      <c r="H75" s="531">
        <f t="shared" si="20"/>
        <v>0</v>
      </c>
      <c r="I75" s="825"/>
      <c r="J75" s="821"/>
      <c r="K75" s="821"/>
      <c r="L75" s="1034"/>
      <c r="M75" s="530"/>
      <c r="N75" s="531">
        <f t="shared" si="21"/>
        <v>0</v>
      </c>
      <c r="O75" s="825"/>
      <c r="P75" s="821"/>
      <c r="Q75" s="822"/>
      <c r="R75" s="530"/>
      <c r="S75" s="530">
        <f>+T75+Z75+AA75+AE75</f>
        <v>0</v>
      </c>
      <c r="T75" s="531">
        <f t="shared" si="23"/>
        <v>0</v>
      </c>
      <c r="U75" s="825"/>
      <c r="V75" s="821"/>
      <c r="W75" s="821"/>
      <c r="X75" s="821"/>
      <c r="Y75" s="822"/>
      <c r="Z75" s="530"/>
      <c r="AA75" s="531">
        <f>+AB75+AC75+AD75</f>
        <v>0</v>
      </c>
      <c r="AB75" s="825"/>
      <c r="AC75" s="821"/>
      <c r="AD75" s="822"/>
      <c r="AE75" s="530"/>
    </row>
    <row r="76" spans="1:32">
      <c r="A76" s="590">
        <f t="shared" si="12"/>
        <v>55</v>
      </c>
      <c r="B76" s="885">
        <v>8</v>
      </c>
      <c r="C76" s="366" t="s">
        <v>690</v>
      </c>
      <c r="D76" s="1030" t="s">
        <v>689</v>
      </c>
      <c r="E76" s="1031" t="s">
        <v>1265</v>
      </c>
      <c r="F76" s="1032" t="s">
        <v>648</v>
      </c>
      <c r="G76" s="530">
        <f t="shared" ref="G76" si="28">+H76+M76+N76+R76</f>
        <v>0</v>
      </c>
      <c r="H76" s="531">
        <f t="shared" si="20"/>
        <v>0</v>
      </c>
      <c r="I76" s="825"/>
      <c r="J76" s="821"/>
      <c r="K76" s="821"/>
      <c r="L76" s="1034"/>
      <c r="M76" s="530"/>
      <c r="N76" s="531">
        <f t="shared" si="21"/>
        <v>0</v>
      </c>
      <c r="O76" s="825"/>
      <c r="P76" s="821"/>
      <c r="Q76" s="822"/>
      <c r="R76" s="530"/>
      <c r="S76" s="530">
        <f t="shared" ref="S76" si="29">+T76+Z76+AA76+AE76</f>
        <v>0</v>
      </c>
      <c r="T76" s="531">
        <f t="shared" si="23"/>
        <v>0</v>
      </c>
      <c r="U76" s="825"/>
      <c r="V76" s="821"/>
      <c r="W76" s="821"/>
      <c r="X76" s="821"/>
      <c r="Y76" s="822"/>
      <c r="Z76" s="530"/>
      <c r="AA76" s="531">
        <f t="shared" ref="AA76" si="30">+AB76+AC76+AD76</f>
        <v>0</v>
      </c>
      <c r="AB76" s="825"/>
      <c r="AC76" s="821"/>
      <c r="AD76" s="822"/>
      <c r="AE76" s="530"/>
    </row>
    <row r="77" spans="1:32">
      <c r="A77" s="590">
        <f t="shared" si="12"/>
        <v>56</v>
      </c>
      <c r="B77" s="885">
        <v>8</v>
      </c>
      <c r="C77" s="366" t="s">
        <v>1302</v>
      </c>
      <c r="D77" s="1030" t="s">
        <v>1315</v>
      </c>
      <c r="E77" s="1031" t="s">
        <v>1265</v>
      </c>
      <c r="F77" s="1032" t="s">
        <v>1314</v>
      </c>
      <c r="G77" s="530">
        <f>+H77+M77+N77+R77</f>
        <v>0</v>
      </c>
      <c r="H77" s="531">
        <f t="shared" si="20"/>
        <v>0</v>
      </c>
      <c r="I77" s="825"/>
      <c r="J77" s="821"/>
      <c r="K77" s="821"/>
      <c r="L77" s="1034"/>
      <c r="M77" s="530"/>
      <c r="N77" s="531">
        <f t="shared" si="21"/>
        <v>0</v>
      </c>
      <c r="O77" s="825"/>
      <c r="P77" s="821"/>
      <c r="Q77" s="822"/>
      <c r="R77" s="530"/>
      <c r="S77" s="530">
        <f>+T77+Z77+AA77+AE77</f>
        <v>0</v>
      </c>
      <c r="T77" s="531">
        <f t="shared" si="23"/>
        <v>0</v>
      </c>
      <c r="U77" s="825"/>
      <c r="V77" s="821"/>
      <c r="W77" s="821"/>
      <c r="X77" s="821"/>
      <c r="Y77" s="822"/>
      <c r="Z77" s="530"/>
      <c r="AA77" s="531">
        <f>+AB77+AC77+AD77</f>
        <v>0</v>
      </c>
      <c r="AB77" s="825"/>
      <c r="AC77" s="821"/>
      <c r="AD77" s="822"/>
      <c r="AE77" s="530"/>
    </row>
    <row r="78" spans="1:32">
      <c r="A78" s="590">
        <f t="shared" si="12"/>
        <v>57</v>
      </c>
      <c r="B78" s="885">
        <v>6</v>
      </c>
      <c r="C78" s="366" t="s">
        <v>1052</v>
      </c>
      <c r="D78" s="1030" t="s">
        <v>1054</v>
      </c>
      <c r="E78" s="1031" t="s">
        <v>1265</v>
      </c>
      <c r="F78" s="1032" t="s">
        <v>1053</v>
      </c>
      <c r="G78" s="534">
        <f t="shared" si="2"/>
        <v>0</v>
      </c>
      <c r="H78" s="535">
        <f t="shared" si="0"/>
        <v>0</v>
      </c>
      <c r="I78" s="818"/>
      <c r="J78" s="819"/>
      <c r="K78" s="819"/>
      <c r="L78" s="1020"/>
      <c r="M78" s="534"/>
      <c r="N78" s="535">
        <f t="shared" si="3"/>
        <v>0</v>
      </c>
      <c r="O78" s="818"/>
      <c r="P78" s="819"/>
      <c r="Q78" s="820"/>
      <c r="R78" s="534"/>
      <c r="S78" s="530">
        <f t="shared" si="4"/>
        <v>0</v>
      </c>
      <c r="T78" s="531">
        <f t="shared" si="5"/>
        <v>0</v>
      </c>
      <c r="U78" s="818"/>
      <c r="V78" s="821"/>
      <c r="W78" s="821"/>
      <c r="X78" s="821"/>
      <c r="Y78" s="822"/>
      <c r="Z78" s="534"/>
      <c r="AA78" s="531">
        <f t="shared" si="18"/>
        <v>0</v>
      </c>
      <c r="AB78" s="825"/>
      <c r="AC78" s="821"/>
      <c r="AD78" s="822"/>
      <c r="AE78" s="534"/>
    </row>
    <row r="79" spans="1:32">
      <c r="A79" s="590">
        <f t="shared" si="12"/>
        <v>58</v>
      </c>
      <c r="B79" s="885">
        <v>6</v>
      </c>
      <c r="C79" s="366" t="s">
        <v>1072</v>
      </c>
      <c r="D79" s="1030" t="s">
        <v>1074</v>
      </c>
      <c r="E79" s="1031" t="s">
        <v>1276</v>
      </c>
      <c r="F79" s="1032" t="s">
        <v>1074</v>
      </c>
      <c r="G79" s="534">
        <f t="shared" si="2"/>
        <v>0</v>
      </c>
      <c r="H79" s="535">
        <f t="shared" si="0"/>
        <v>0</v>
      </c>
      <c r="I79" s="818"/>
      <c r="J79" s="819"/>
      <c r="K79" s="819"/>
      <c r="L79" s="1020"/>
      <c r="M79" s="534"/>
      <c r="N79" s="535">
        <f t="shared" si="3"/>
        <v>0</v>
      </c>
      <c r="O79" s="818"/>
      <c r="P79" s="819"/>
      <c r="Q79" s="820"/>
      <c r="R79" s="534"/>
      <c r="S79" s="530">
        <f t="shared" si="4"/>
        <v>0</v>
      </c>
      <c r="T79" s="531">
        <f t="shared" si="5"/>
        <v>0</v>
      </c>
      <c r="U79" s="818"/>
      <c r="V79" s="821"/>
      <c r="W79" s="821"/>
      <c r="X79" s="821"/>
      <c r="Y79" s="822"/>
      <c r="Z79" s="534"/>
      <c r="AA79" s="531">
        <f t="shared" si="18"/>
        <v>0</v>
      </c>
      <c r="AB79" s="825"/>
      <c r="AC79" s="821"/>
      <c r="AD79" s="822"/>
      <c r="AE79" s="534"/>
    </row>
    <row r="80" spans="1:32">
      <c r="A80" s="590">
        <f t="shared" si="12"/>
        <v>59</v>
      </c>
      <c r="B80" s="885">
        <v>6</v>
      </c>
      <c r="C80" s="366" t="s">
        <v>685</v>
      </c>
      <c r="D80" s="1030" t="s">
        <v>686</v>
      </c>
      <c r="E80" s="1031" t="s">
        <v>1265</v>
      </c>
      <c r="F80" s="1032" t="s">
        <v>1047</v>
      </c>
      <c r="G80" s="534">
        <f t="shared" si="2"/>
        <v>0</v>
      </c>
      <c r="H80" s="535">
        <f t="shared" si="0"/>
        <v>0</v>
      </c>
      <c r="I80" s="818"/>
      <c r="J80" s="819"/>
      <c r="K80" s="819"/>
      <c r="L80" s="1020"/>
      <c r="M80" s="534"/>
      <c r="N80" s="535">
        <f t="shared" si="3"/>
        <v>0</v>
      </c>
      <c r="O80" s="818"/>
      <c r="P80" s="819"/>
      <c r="Q80" s="820"/>
      <c r="R80" s="534"/>
      <c r="S80" s="530">
        <f t="shared" si="4"/>
        <v>0</v>
      </c>
      <c r="T80" s="531">
        <f t="shared" si="5"/>
        <v>0</v>
      </c>
      <c r="U80" s="818"/>
      <c r="V80" s="821"/>
      <c r="W80" s="821"/>
      <c r="X80" s="821"/>
      <c r="Y80" s="822"/>
      <c r="Z80" s="534"/>
      <c r="AA80" s="531">
        <f t="shared" si="18"/>
        <v>0</v>
      </c>
      <c r="AB80" s="825"/>
      <c r="AC80" s="821"/>
      <c r="AD80" s="822"/>
      <c r="AE80" s="534"/>
    </row>
    <row r="81" spans="1:32">
      <c r="A81" s="590">
        <f t="shared" si="12"/>
        <v>60</v>
      </c>
      <c r="B81" s="885">
        <v>8</v>
      </c>
      <c r="C81" s="366" t="s">
        <v>691</v>
      </c>
      <c r="D81" s="1030" t="s">
        <v>692</v>
      </c>
      <c r="E81" s="1031" t="s">
        <v>1265</v>
      </c>
      <c r="F81" s="1032" t="s">
        <v>1049</v>
      </c>
      <c r="G81" s="530">
        <f>+H81+M81+N81+R81</f>
        <v>0</v>
      </c>
      <c r="H81" s="531">
        <f t="shared" si="0"/>
        <v>0</v>
      </c>
      <c r="I81" s="825"/>
      <c r="J81" s="821"/>
      <c r="K81" s="821"/>
      <c r="L81" s="1034"/>
      <c r="M81" s="530"/>
      <c r="N81" s="531">
        <f t="shared" si="3"/>
        <v>0</v>
      </c>
      <c r="O81" s="825"/>
      <c r="P81" s="821"/>
      <c r="Q81" s="822"/>
      <c r="R81" s="530"/>
      <c r="S81" s="530">
        <f>+T81+Z81+AA81+AE81</f>
        <v>0</v>
      </c>
      <c r="T81" s="531">
        <f t="shared" ref="T81:T95" si="31">+U81+V81+W81+X81+Y81</f>
        <v>0</v>
      </c>
      <c r="U81" s="825"/>
      <c r="V81" s="821"/>
      <c r="W81" s="821"/>
      <c r="X81" s="821"/>
      <c r="Y81" s="822"/>
      <c r="Z81" s="530"/>
      <c r="AA81" s="531">
        <f>+AB81+AC81+AD81</f>
        <v>0</v>
      </c>
      <c r="AB81" s="825"/>
      <c r="AC81" s="821"/>
      <c r="AD81" s="822"/>
      <c r="AE81" s="530"/>
    </row>
    <row r="82" spans="1:32">
      <c r="A82" s="590">
        <f t="shared" ref="A82:A94" si="32">+A81+1</f>
        <v>61</v>
      </c>
      <c r="B82" s="885">
        <v>8</v>
      </c>
      <c r="C82" s="366" t="s">
        <v>691</v>
      </c>
      <c r="D82" s="1030" t="s">
        <v>698</v>
      </c>
      <c r="E82" s="1031" t="s">
        <v>1265</v>
      </c>
      <c r="F82" s="1032" t="s">
        <v>649</v>
      </c>
      <c r="G82" s="530">
        <f t="shared" si="2"/>
        <v>0</v>
      </c>
      <c r="H82" s="531">
        <f t="shared" si="0"/>
        <v>0</v>
      </c>
      <c r="I82" s="825"/>
      <c r="J82" s="821"/>
      <c r="K82" s="821"/>
      <c r="L82" s="1034"/>
      <c r="M82" s="530"/>
      <c r="N82" s="531">
        <f t="shared" si="3"/>
        <v>0</v>
      </c>
      <c r="O82" s="825"/>
      <c r="P82" s="821"/>
      <c r="Q82" s="822"/>
      <c r="R82" s="530"/>
      <c r="S82" s="530">
        <f t="shared" si="4"/>
        <v>0</v>
      </c>
      <c r="T82" s="531">
        <f t="shared" si="31"/>
        <v>0</v>
      </c>
      <c r="U82" s="825"/>
      <c r="V82" s="821"/>
      <c r="W82" s="821"/>
      <c r="X82" s="821"/>
      <c r="Y82" s="822"/>
      <c r="Z82" s="530"/>
      <c r="AA82" s="531">
        <f t="shared" si="18"/>
        <v>0</v>
      </c>
      <c r="AB82" s="825"/>
      <c r="AC82" s="821"/>
      <c r="AD82" s="822"/>
      <c r="AE82" s="530"/>
    </row>
    <row r="83" spans="1:32">
      <c r="A83" s="590">
        <f t="shared" si="32"/>
        <v>62</v>
      </c>
      <c r="B83" s="885">
        <v>8</v>
      </c>
      <c r="C83" s="366" t="s">
        <v>713</v>
      </c>
      <c r="D83" s="1030" t="s">
        <v>1351</v>
      </c>
      <c r="E83" s="1031" t="s">
        <v>1268</v>
      </c>
      <c r="F83" s="1032" t="s">
        <v>1352</v>
      </c>
      <c r="G83" s="530">
        <f>+H83+M83+N83+R83</f>
        <v>0</v>
      </c>
      <c r="H83" s="531">
        <f t="shared" si="0"/>
        <v>0</v>
      </c>
      <c r="I83" s="825"/>
      <c r="J83" s="821"/>
      <c r="K83" s="821"/>
      <c r="L83" s="1034"/>
      <c r="M83" s="530"/>
      <c r="N83" s="531">
        <f t="shared" si="3"/>
        <v>0</v>
      </c>
      <c r="O83" s="825"/>
      <c r="P83" s="821"/>
      <c r="Q83" s="822"/>
      <c r="R83" s="530"/>
      <c r="S83" s="530">
        <f>+T83+Z83+AA83+AE83</f>
        <v>0</v>
      </c>
      <c r="T83" s="531">
        <f t="shared" si="31"/>
        <v>0</v>
      </c>
      <c r="U83" s="825"/>
      <c r="V83" s="821"/>
      <c r="W83" s="821"/>
      <c r="X83" s="821"/>
      <c r="Y83" s="822"/>
      <c r="Z83" s="530"/>
      <c r="AA83" s="531">
        <f>+AB83+AC83+AD83</f>
        <v>0</v>
      </c>
      <c r="AB83" s="825"/>
      <c r="AC83" s="821"/>
      <c r="AD83" s="822"/>
      <c r="AE83" s="530"/>
    </row>
    <row r="84" spans="1:32">
      <c r="A84" s="590">
        <f t="shared" si="32"/>
        <v>63</v>
      </c>
      <c r="B84" s="885">
        <v>8</v>
      </c>
      <c r="C84" s="366" t="s">
        <v>1296</v>
      </c>
      <c r="D84" s="1030" t="s">
        <v>1294</v>
      </c>
      <c r="E84" s="1031" t="s">
        <v>1265</v>
      </c>
      <c r="F84" s="1032" t="s">
        <v>1353</v>
      </c>
      <c r="G84" s="530">
        <f t="shared" si="2"/>
        <v>0</v>
      </c>
      <c r="H84" s="531">
        <f t="shared" si="0"/>
        <v>0</v>
      </c>
      <c r="I84" s="825"/>
      <c r="J84" s="821"/>
      <c r="K84" s="821"/>
      <c r="L84" s="1034"/>
      <c r="M84" s="530"/>
      <c r="N84" s="531">
        <f t="shared" si="3"/>
        <v>0</v>
      </c>
      <c r="O84" s="825"/>
      <c r="P84" s="821"/>
      <c r="Q84" s="822"/>
      <c r="R84" s="530"/>
      <c r="S84" s="530">
        <f t="shared" si="4"/>
        <v>0</v>
      </c>
      <c r="T84" s="531">
        <f t="shared" si="31"/>
        <v>0</v>
      </c>
      <c r="U84" s="825"/>
      <c r="V84" s="821"/>
      <c r="W84" s="821"/>
      <c r="X84" s="821"/>
      <c r="Y84" s="822"/>
      <c r="Z84" s="530"/>
      <c r="AA84" s="531">
        <f t="shared" si="18"/>
        <v>0</v>
      </c>
      <c r="AB84" s="825"/>
      <c r="AC84" s="821"/>
      <c r="AD84" s="822"/>
      <c r="AE84" s="530"/>
    </row>
    <row r="85" spans="1:32">
      <c r="A85" s="590">
        <f t="shared" si="32"/>
        <v>64</v>
      </c>
      <c r="B85" s="885">
        <v>8</v>
      </c>
      <c r="C85" s="366" t="s">
        <v>1302</v>
      </c>
      <c r="D85" s="1030" t="s">
        <v>1355</v>
      </c>
      <c r="E85" s="1031" t="s">
        <v>1265</v>
      </c>
      <c r="F85" s="1032" t="s">
        <v>1354</v>
      </c>
      <c r="G85" s="530">
        <f>+H85+M85+N85+R85</f>
        <v>0</v>
      </c>
      <c r="H85" s="531">
        <f t="shared" si="0"/>
        <v>0</v>
      </c>
      <c r="I85" s="825"/>
      <c r="J85" s="821"/>
      <c r="K85" s="821"/>
      <c r="L85" s="1034"/>
      <c r="M85" s="530"/>
      <c r="N85" s="531">
        <f t="shared" si="3"/>
        <v>0</v>
      </c>
      <c r="O85" s="825"/>
      <c r="P85" s="821"/>
      <c r="Q85" s="822"/>
      <c r="R85" s="530"/>
      <c r="S85" s="530">
        <f>+T85+Z85+AA85+AE85</f>
        <v>0</v>
      </c>
      <c r="T85" s="531">
        <f t="shared" si="31"/>
        <v>0</v>
      </c>
      <c r="U85" s="825"/>
      <c r="V85" s="821"/>
      <c r="W85" s="821"/>
      <c r="X85" s="821"/>
      <c r="Y85" s="822"/>
      <c r="Z85" s="530"/>
      <c r="AA85" s="531">
        <f>+AB85+AC85+AD85</f>
        <v>0</v>
      </c>
      <c r="AB85" s="825"/>
      <c r="AC85" s="821"/>
      <c r="AD85" s="822"/>
      <c r="AE85" s="530"/>
    </row>
    <row r="86" spans="1:32">
      <c r="A86" s="590">
        <f t="shared" si="32"/>
        <v>65</v>
      </c>
      <c r="B86" s="885">
        <v>8</v>
      </c>
      <c r="C86" s="366" t="s">
        <v>1356</v>
      </c>
      <c r="D86" s="1030" t="s">
        <v>1357</v>
      </c>
      <c r="E86" s="1031" t="s">
        <v>1265</v>
      </c>
      <c r="F86" s="1032" t="s">
        <v>1358</v>
      </c>
      <c r="G86" s="530">
        <f t="shared" si="2"/>
        <v>0</v>
      </c>
      <c r="H86" s="531">
        <f t="shared" si="0"/>
        <v>0</v>
      </c>
      <c r="I86" s="825"/>
      <c r="J86" s="821"/>
      <c r="K86" s="821"/>
      <c r="L86" s="1034"/>
      <c r="M86" s="530"/>
      <c r="N86" s="531">
        <f t="shared" si="3"/>
        <v>0</v>
      </c>
      <c r="O86" s="825"/>
      <c r="P86" s="821"/>
      <c r="Q86" s="822"/>
      <c r="R86" s="530"/>
      <c r="S86" s="530">
        <f t="shared" si="4"/>
        <v>0</v>
      </c>
      <c r="T86" s="531">
        <f t="shared" si="31"/>
        <v>0</v>
      </c>
      <c r="U86" s="825"/>
      <c r="V86" s="821"/>
      <c r="W86" s="821"/>
      <c r="X86" s="821"/>
      <c r="Y86" s="822"/>
      <c r="Z86" s="530"/>
      <c r="AA86" s="531">
        <f t="shared" si="18"/>
        <v>0</v>
      </c>
      <c r="AB86" s="825"/>
      <c r="AC86" s="821"/>
      <c r="AD86" s="822"/>
      <c r="AE86" s="530"/>
    </row>
    <row r="87" spans="1:32">
      <c r="A87" s="590">
        <f t="shared" si="32"/>
        <v>66</v>
      </c>
      <c r="B87" s="885">
        <v>8</v>
      </c>
      <c r="C87" s="366" t="s">
        <v>1359</v>
      </c>
      <c r="D87" s="1030" t="s">
        <v>1360</v>
      </c>
      <c r="E87" s="1031" t="s">
        <v>1265</v>
      </c>
      <c r="F87" s="1032" t="s">
        <v>1365</v>
      </c>
      <c r="G87" s="530">
        <f>+H87+M87+N87+R87</f>
        <v>0</v>
      </c>
      <c r="H87" s="531">
        <f t="shared" ref="H87:H93" si="33">+I87+J87+K87+L87</f>
        <v>0</v>
      </c>
      <c r="I87" s="825"/>
      <c r="J87" s="821"/>
      <c r="K87" s="821"/>
      <c r="L87" s="1034"/>
      <c r="M87" s="530"/>
      <c r="N87" s="531">
        <f t="shared" ref="N87:N93" si="34">+O87+P87+Q87</f>
        <v>0</v>
      </c>
      <c r="O87" s="825"/>
      <c r="P87" s="821"/>
      <c r="Q87" s="822"/>
      <c r="R87" s="530"/>
      <c r="S87" s="530">
        <f>+T87+Z87+AA87+AE87</f>
        <v>0</v>
      </c>
      <c r="T87" s="531">
        <f t="shared" ref="T87:T93" si="35">+U87+V87+W87+X87+Y87</f>
        <v>0</v>
      </c>
      <c r="U87" s="825"/>
      <c r="V87" s="821"/>
      <c r="W87" s="821"/>
      <c r="X87" s="821"/>
      <c r="Y87" s="822"/>
      <c r="Z87" s="530"/>
      <c r="AA87" s="531">
        <f>+AB87+AC87+AD87</f>
        <v>0</v>
      </c>
      <c r="AB87" s="825"/>
      <c r="AC87" s="821"/>
      <c r="AD87" s="822"/>
      <c r="AE87" s="530"/>
    </row>
    <row r="88" spans="1:32">
      <c r="A88" s="590">
        <f t="shared" si="32"/>
        <v>67</v>
      </c>
      <c r="B88" s="885">
        <v>8</v>
      </c>
      <c r="C88" s="366" t="s">
        <v>1361</v>
      </c>
      <c r="D88" s="1030" t="s">
        <v>1362</v>
      </c>
      <c r="E88" s="1031" t="s">
        <v>1363</v>
      </c>
      <c r="F88" s="1032" t="s">
        <v>1364</v>
      </c>
      <c r="G88" s="530">
        <f>+H88+M88+N88+R88</f>
        <v>0</v>
      </c>
      <c r="H88" s="531">
        <f t="shared" si="33"/>
        <v>0</v>
      </c>
      <c r="I88" s="825"/>
      <c r="J88" s="821"/>
      <c r="K88" s="821"/>
      <c r="L88" s="1034"/>
      <c r="M88" s="530"/>
      <c r="N88" s="531">
        <f t="shared" si="34"/>
        <v>0</v>
      </c>
      <c r="O88" s="825"/>
      <c r="P88" s="821"/>
      <c r="Q88" s="822"/>
      <c r="R88" s="530"/>
      <c r="S88" s="530">
        <f>+T88+Z88+AA88+AE88</f>
        <v>0</v>
      </c>
      <c r="T88" s="531">
        <f t="shared" si="35"/>
        <v>0</v>
      </c>
      <c r="U88" s="825"/>
      <c r="V88" s="821"/>
      <c r="W88" s="821"/>
      <c r="X88" s="821"/>
      <c r="Y88" s="822"/>
      <c r="Z88" s="530"/>
      <c r="AA88" s="531">
        <f>+AB88+AC88+AD88</f>
        <v>0</v>
      </c>
      <c r="AB88" s="825"/>
      <c r="AC88" s="821"/>
      <c r="AD88" s="822"/>
      <c r="AE88" s="530"/>
    </row>
    <row r="89" spans="1:32">
      <c r="A89" s="590">
        <f t="shared" si="32"/>
        <v>68</v>
      </c>
      <c r="B89" s="885">
        <v>8</v>
      </c>
      <c r="C89" s="366" t="s">
        <v>1052</v>
      </c>
      <c r="D89" s="1030" t="s">
        <v>1366</v>
      </c>
      <c r="E89" s="1031" t="s">
        <v>1265</v>
      </c>
      <c r="F89" s="1032" t="s">
        <v>1367</v>
      </c>
      <c r="G89" s="530">
        <f>+H89+M89+N89+R89</f>
        <v>0</v>
      </c>
      <c r="H89" s="531">
        <f t="shared" si="33"/>
        <v>0</v>
      </c>
      <c r="I89" s="825"/>
      <c r="J89" s="821"/>
      <c r="K89" s="821"/>
      <c r="L89" s="1034"/>
      <c r="M89" s="530"/>
      <c r="N89" s="531">
        <f t="shared" si="34"/>
        <v>0</v>
      </c>
      <c r="O89" s="825"/>
      <c r="P89" s="821"/>
      <c r="Q89" s="822"/>
      <c r="R89" s="530"/>
      <c r="S89" s="530">
        <f>+T89+Z89+AA89+AE89</f>
        <v>0</v>
      </c>
      <c r="T89" s="531">
        <f t="shared" si="35"/>
        <v>0</v>
      </c>
      <c r="U89" s="825"/>
      <c r="V89" s="821"/>
      <c r="W89" s="821"/>
      <c r="X89" s="821"/>
      <c r="Y89" s="822"/>
      <c r="Z89" s="530"/>
      <c r="AA89" s="531">
        <f>+AB89+AC89+AD89</f>
        <v>0</v>
      </c>
      <c r="AB89" s="825"/>
      <c r="AC89" s="821"/>
      <c r="AD89" s="822"/>
      <c r="AE89" s="530"/>
    </row>
    <row r="90" spans="1:32">
      <c r="A90" s="590">
        <f t="shared" si="32"/>
        <v>69</v>
      </c>
      <c r="B90" s="885">
        <v>8</v>
      </c>
      <c r="C90" s="366" t="s">
        <v>1296</v>
      </c>
      <c r="D90" s="1030" t="s">
        <v>1294</v>
      </c>
      <c r="E90" s="1031" t="s">
        <v>1265</v>
      </c>
      <c r="F90" s="1032" t="s">
        <v>1368</v>
      </c>
      <c r="G90" s="530">
        <f>+H90+M90+N90+R90</f>
        <v>0</v>
      </c>
      <c r="H90" s="531">
        <f t="shared" si="33"/>
        <v>0</v>
      </c>
      <c r="I90" s="825"/>
      <c r="J90" s="821"/>
      <c r="K90" s="821"/>
      <c r="L90" s="1034"/>
      <c r="M90" s="530"/>
      <c r="N90" s="531">
        <f t="shared" si="34"/>
        <v>0</v>
      </c>
      <c r="O90" s="825"/>
      <c r="P90" s="821"/>
      <c r="Q90" s="822"/>
      <c r="R90" s="530"/>
      <c r="S90" s="530">
        <f>+T90+Z90+AA90+AE90</f>
        <v>0</v>
      </c>
      <c r="T90" s="531">
        <f t="shared" si="35"/>
        <v>0</v>
      </c>
      <c r="U90" s="825"/>
      <c r="V90" s="821"/>
      <c r="W90" s="821"/>
      <c r="X90" s="821"/>
      <c r="Y90" s="822"/>
      <c r="Z90" s="530"/>
      <c r="AA90" s="531">
        <f>+AB90+AC90+AD90</f>
        <v>0</v>
      </c>
      <c r="AB90" s="825"/>
      <c r="AC90" s="821"/>
      <c r="AD90" s="822"/>
      <c r="AE90" s="530"/>
    </row>
    <row r="91" spans="1:32">
      <c r="A91" s="590">
        <f t="shared" si="32"/>
        <v>70</v>
      </c>
      <c r="B91" s="885">
        <v>8</v>
      </c>
      <c r="C91" s="366" t="s">
        <v>1369</v>
      </c>
      <c r="D91" s="1030" t="s">
        <v>1371</v>
      </c>
      <c r="E91" s="1031" t="s">
        <v>1265</v>
      </c>
      <c r="F91" s="1032" t="s">
        <v>1370</v>
      </c>
      <c r="G91" s="530">
        <f>+H91+M91+N91+R91</f>
        <v>0</v>
      </c>
      <c r="H91" s="531">
        <f t="shared" si="33"/>
        <v>0</v>
      </c>
      <c r="I91" s="825"/>
      <c r="J91" s="821"/>
      <c r="K91" s="821"/>
      <c r="L91" s="1034"/>
      <c r="M91" s="530"/>
      <c r="N91" s="531">
        <f t="shared" si="34"/>
        <v>0</v>
      </c>
      <c r="O91" s="825"/>
      <c r="P91" s="821"/>
      <c r="Q91" s="822"/>
      <c r="R91" s="530"/>
      <c r="S91" s="530">
        <f>+T91+Z91+AA91+AE91</f>
        <v>0</v>
      </c>
      <c r="T91" s="531">
        <f t="shared" si="35"/>
        <v>0</v>
      </c>
      <c r="U91" s="825"/>
      <c r="V91" s="821"/>
      <c r="W91" s="821"/>
      <c r="X91" s="821"/>
      <c r="Y91" s="822"/>
      <c r="Z91" s="530"/>
      <c r="AA91" s="531">
        <f>+AB91+AC91+AD91</f>
        <v>0</v>
      </c>
      <c r="AB91" s="825"/>
      <c r="AC91" s="821"/>
      <c r="AD91" s="822"/>
      <c r="AE91" s="530"/>
    </row>
    <row r="92" spans="1:32">
      <c r="A92" s="590">
        <f t="shared" si="32"/>
        <v>71</v>
      </c>
      <c r="B92" s="885">
        <v>8</v>
      </c>
      <c r="C92" s="366" t="s">
        <v>1302</v>
      </c>
      <c r="D92" s="1030" t="s">
        <v>1303</v>
      </c>
      <c r="E92" s="1031" t="s">
        <v>1265</v>
      </c>
      <c r="F92" s="1032" t="s">
        <v>1372</v>
      </c>
      <c r="G92" s="530">
        <f t="shared" ref="G92:G93" si="36">+H92+M92+N92+R92</f>
        <v>0</v>
      </c>
      <c r="H92" s="531">
        <f t="shared" si="33"/>
        <v>0</v>
      </c>
      <c r="I92" s="825"/>
      <c r="J92" s="821"/>
      <c r="K92" s="821"/>
      <c r="L92" s="1034"/>
      <c r="M92" s="530"/>
      <c r="N92" s="531">
        <f t="shared" si="34"/>
        <v>0</v>
      </c>
      <c r="O92" s="825"/>
      <c r="P92" s="821"/>
      <c r="Q92" s="822"/>
      <c r="R92" s="530"/>
      <c r="S92" s="530">
        <f t="shared" ref="S92:S93" si="37">+T92+Z92+AA92+AE92</f>
        <v>0</v>
      </c>
      <c r="T92" s="531">
        <f t="shared" si="35"/>
        <v>0</v>
      </c>
      <c r="U92" s="825"/>
      <c r="V92" s="821"/>
      <c r="W92" s="821"/>
      <c r="X92" s="821"/>
      <c r="Y92" s="822"/>
      <c r="Z92" s="530"/>
      <c r="AA92" s="531">
        <f t="shared" ref="AA92:AA93" si="38">+AB92+AC92+AD92</f>
        <v>0</v>
      </c>
      <c r="AB92" s="825"/>
      <c r="AC92" s="821"/>
      <c r="AD92" s="822"/>
      <c r="AE92" s="530"/>
    </row>
    <row r="93" spans="1:32">
      <c r="A93" s="590">
        <f t="shared" si="32"/>
        <v>72</v>
      </c>
      <c r="B93" s="885">
        <v>8</v>
      </c>
      <c r="C93" s="366" t="s">
        <v>1359</v>
      </c>
      <c r="D93" s="1030" t="s">
        <v>1373</v>
      </c>
      <c r="E93" s="1031" t="s">
        <v>1265</v>
      </c>
      <c r="F93" s="1032" t="s">
        <v>1374</v>
      </c>
      <c r="G93" s="530">
        <f t="shared" si="36"/>
        <v>0</v>
      </c>
      <c r="H93" s="531">
        <f t="shared" si="33"/>
        <v>0</v>
      </c>
      <c r="I93" s="825"/>
      <c r="J93" s="821"/>
      <c r="K93" s="821"/>
      <c r="L93" s="1034"/>
      <c r="M93" s="530"/>
      <c r="N93" s="531">
        <f t="shared" si="34"/>
        <v>0</v>
      </c>
      <c r="O93" s="825"/>
      <c r="P93" s="821"/>
      <c r="Q93" s="822"/>
      <c r="R93" s="530"/>
      <c r="S93" s="530">
        <f t="shared" si="37"/>
        <v>0</v>
      </c>
      <c r="T93" s="531">
        <f t="shared" si="35"/>
        <v>0</v>
      </c>
      <c r="U93" s="825"/>
      <c r="V93" s="821"/>
      <c r="W93" s="821"/>
      <c r="X93" s="821"/>
      <c r="Y93" s="822"/>
      <c r="Z93" s="530"/>
      <c r="AA93" s="531">
        <f t="shared" si="38"/>
        <v>0</v>
      </c>
      <c r="AB93" s="825"/>
      <c r="AC93" s="821"/>
      <c r="AD93" s="822"/>
      <c r="AE93" s="530"/>
    </row>
    <row r="94" spans="1:32">
      <c r="A94" s="590">
        <f t="shared" si="32"/>
        <v>73</v>
      </c>
      <c r="B94" s="885">
        <v>8</v>
      </c>
      <c r="C94" s="366" t="s">
        <v>680</v>
      </c>
      <c r="D94" s="1030" t="s">
        <v>679</v>
      </c>
      <c r="E94" s="1031" t="s">
        <v>1265</v>
      </c>
      <c r="F94" s="1032" t="s">
        <v>644</v>
      </c>
      <c r="G94" s="530">
        <f>+H94+M94+N94+R94</f>
        <v>0</v>
      </c>
      <c r="H94" s="531">
        <f t="shared" si="0"/>
        <v>0</v>
      </c>
      <c r="I94" s="825"/>
      <c r="J94" s="821"/>
      <c r="K94" s="821"/>
      <c r="L94" s="1034"/>
      <c r="M94" s="530"/>
      <c r="N94" s="531">
        <f t="shared" si="3"/>
        <v>0</v>
      </c>
      <c r="O94" s="825"/>
      <c r="P94" s="821"/>
      <c r="Q94" s="822"/>
      <c r="R94" s="530"/>
      <c r="S94" s="530">
        <f>+T94+Z94+AA94+AE94</f>
        <v>0</v>
      </c>
      <c r="T94" s="531">
        <f t="shared" si="31"/>
        <v>0</v>
      </c>
      <c r="U94" s="825"/>
      <c r="V94" s="821"/>
      <c r="W94" s="821"/>
      <c r="X94" s="821"/>
      <c r="Y94" s="822"/>
      <c r="Z94" s="530"/>
      <c r="AA94" s="531">
        <f>+AB94+AC94+AD94</f>
        <v>0</v>
      </c>
      <c r="AB94" s="825"/>
      <c r="AC94" s="821"/>
      <c r="AD94" s="822"/>
      <c r="AE94" s="530"/>
    </row>
    <row r="95" spans="1:32" s="1087" customFormat="1" ht="12.75" thickBot="1">
      <c r="A95" s="1382" t="str">
        <f>+$E$192&amp;". "&amp;$F$192</f>
        <v>2. Fejlesztési hitel felvétele - Kerekerdő óvoda tornaszoba önerő</v>
      </c>
      <c r="B95" s="1383"/>
      <c r="C95" s="1383"/>
      <c r="D95" s="1383"/>
      <c r="E95" s="1383"/>
      <c r="F95" s="1384"/>
      <c r="G95" s="1080">
        <f>+H95+M95+N95+R95</f>
        <v>9999</v>
      </c>
      <c r="H95" s="1081">
        <f>+I95+J95+K95+L95</f>
        <v>0</v>
      </c>
      <c r="I95" s="868"/>
      <c r="J95" s="869"/>
      <c r="K95" s="869"/>
      <c r="L95" s="1082"/>
      <c r="M95" s="1080"/>
      <c r="N95" s="1081">
        <f>+O95+P95+Q95</f>
        <v>0</v>
      </c>
      <c r="O95" s="868"/>
      <c r="P95" s="869"/>
      <c r="Q95" s="870"/>
      <c r="R95" s="1080">
        <f>-H192</f>
        <v>9999</v>
      </c>
      <c r="S95" s="1080">
        <f>+T95+Z95+AA95+AE95</f>
        <v>0</v>
      </c>
      <c r="T95" s="1081">
        <f t="shared" si="31"/>
        <v>0</v>
      </c>
      <c r="U95" s="868"/>
      <c r="V95" s="1083"/>
      <c r="W95" s="1083"/>
      <c r="X95" s="1083"/>
      <c r="Y95" s="1084"/>
      <c r="Z95" s="1080"/>
      <c r="AA95" s="1081">
        <f t="shared" si="18"/>
        <v>0</v>
      </c>
      <c r="AB95" s="1085"/>
      <c r="AC95" s="1083"/>
      <c r="AD95" s="1084"/>
      <c r="AE95" s="1080"/>
      <c r="AF95" s="1086">
        <f>-G95+S95</f>
        <v>-9999</v>
      </c>
    </row>
    <row r="96" spans="1:32" s="521" customFormat="1" ht="12.75" thickBot="1">
      <c r="A96" s="586" t="s">
        <v>596</v>
      </c>
      <c r="B96" s="886"/>
      <c r="C96" s="1391" t="s">
        <v>411</v>
      </c>
      <c r="D96" s="1392"/>
      <c r="E96" s="1392"/>
      <c r="F96" s="1393"/>
      <c r="G96" s="538">
        <f t="shared" ref="G96:AE96" si="39">SUM(G8:G95)</f>
        <v>558062</v>
      </c>
      <c r="H96" s="422">
        <f t="shared" si="39"/>
        <v>12100</v>
      </c>
      <c r="I96" s="539">
        <f t="shared" si="39"/>
        <v>12100</v>
      </c>
      <c r="J96" s="377">
        <f t="shared" si="39"/>
        <v>0</v>
      </c>
      <c r="K96" s="377">
        <f t="shared" si="39"/>
        <v>0</v>
      </c>
      <c r="L96" s="1035">
        <f t="shared" si="39"/>
        <v>0</v>
      </c>
      <c r="M96" s="538">
        <f t="shared" si="39"/>
        <v>523464</v>
      </c>
      <c r="N96" s="422">
        <f t="shared" si="39"/>
        <v>12499</v>
      </c>
      <c r="O96" s="539">
        <f t="shared" si="39"/>
        <v>2499</v>
      </c>
      <c r="P96" s="377">
        <f t="shared" si="39"/>
        <v>10000</v>
      </c>
      <c r="Q96" s="364">
        <f t="shared" si="39"/>
        <v>0</v>
      </c>
      <c r="R96" s="538">
        <f t="shared" si="39"/>
        <v>9999</v>
      </c>
      <c r="S96" s="538">
        <f t="shared" si="39"/>
        <v>467142</v>
      </c>
      <c r="T96" s="568">
        <f t="shared" si="39"/>
        <v>517642</v>
      </c>
      <c r="U96" s="569">
        <f t="shared" si="39"/>
        <v>0</v>
      </c>
      <c r="V96" s="570">
        <f t="shared" si="39"/>
        <v>0</v>
      </c>
      <c r="W96" s="570">
        <f t="shared" si="39"/>
        <v>4900</v>
      </c>
      <c r="X96" s="570">
        <f t="shared" si="39"/>
        <v>0</v>
      </c>
      <c r="Y96" s="422">
        <f t="shared" si="39"/>
        <v>512742</v>
      </c>
      <c r="Z96" s="538">
        <f t="shared" si="39"/>
        <v>0</v>
      </c>
      <c r="AA96" s="571">
        <f t="shared" si="39"/>
        <v>-50500</v>
      </c>
      <c r="AB96" s="569">
        <f t="shared" si="39"/>
        <v>-21500</v>
      </c>
      <c r="AC96" s="570">
        <f t="shared" si="39"/>
        <v>-29000</v>
      </c>
      <c r="AD96" s="422">
        <f t="shared" si="39"/>
        <v>0</v>
      </c>
      <c r="AE96" s="538">
        <f t="shared" si="39"/>
        <v>0</v>
      </c>
    </row>
    <row r="97" spans="1:32">
      <c r="A97" s="590">
        <f>A94+1</f>
        <v>74</v>
      </c>
      <c r="B97" s="883">
        <v>9</v>
      </c>
      <c r="C97" s="366" t="s">
        <v>1045</v>
      </c>
      <c r="D97" s="1030" t="s">
        <v>1044</v>
      </c>
      <c r="E97" s="1031" t="s">
        <v>1275</v>
      </c>
      <c r="F97" s="1032" t="s">
        <v>1114</v>
      </c>
      <c r="G97" s="518">
        <f t="shared" ref="G97:G104" si="40">+H97+M97+N97+R97</f>
        <v>0</v>
      </c>
      <c r="H97" s="519">
        <f t="shared" ref="H97:H104" si="41">+I97+J97+K97+L97</f>
        <v>0</v>
      </c>
      <c r="I97" s="818"/>
      <c r="J97" s="819"/>
      <c r="K97" s="819"/>
      <c r="L97" s="1020"/>
      <c r="M97" s="518"/>
      <c r="N97" s="519">
        <f t="shared" ref="N97:N104" si="42">+O97+P97+Q97</f>
        <v>0</v>
      </c>
      <c r="O97" s="818"/>
      <c r="P97" s="819"/>
      <c r="Q97" s="820"/>
      <c r="R97" s="518"/>
      <c r="S97" s="530">
        <f t="shared" ref="S97:S104" si="43">+T97+Z97+AA97+AE97</f>
        <v>0</v>
      </c>
      <c r="T97" s="531">
        <f t="shared" ref="T97:T104" si="44">+U97+V97+W97+X97+Y97</f>
        <v>0</v>
      </c>
      <c r="U97" s="818"/>
      <c r="V97" s="819"/>
      <c r="W97" s="819"/>
      <c r="X97" s="819"/>
      <c r="Y97" s="820"/>
      <c r="Z97" s="518"/>
      <c r="AA97" s="531">
        <f t="shared" ref="AA97:AA104" si="45">+AB97+AC97+AD97</f>
        <v>0</v>
      </c>
      <c r="AB97" s="818"/>
      <c r="AC97" s="819"/>
      <c r="AD97" s="820"/>
      <c r="AE97" s="518"/>
    </row>
    <row r="98" spans="1:32">
      <c r="A98" s="590">
        <f>+A97+1</f>
        <v>75</v>
      </c>
      <c r="B98" s="884">
        <v>10</v>
      </c>
      <c r="C98" s="366" t="s">
        <v>743</v>
      </c>
      <c r="D98" s="1030" t="s">
        <v>744</v>
      </c>
      <c r="E98" s="1031" t="s">
        <v>1265</v>
      </c>
      <c r="F98" s="1032" t="s">
        <v>665</v>
      </c>
      <c r="G98" s="530">
        <f t="shared" si="40"/>
        <v>0</v>
      </c>
      <c r="H98" s="531">
        <f t="shared" si="41"/>
        <v>0</v>
      </c>
      <c r="I98" s="818"/>
      <c r="J98" s="821"/>
      <c r="K98" s="821"/>
      <c r="L98" s="1034"/>
      <c r="M98" s="530"/>
      <c r="N98" s="531">
        <f t="shared" si="42"/>
        <v>0</v>
      </c>
      <c r="O98" s="825"/>
      <c r="P98" s="821"/>
      <c r="Q98" s="822"/>
      <c r="R98" s="530"/>
      <c r="S98" s="530">
        <f t="shared" si="43"/>
        <v>0</v>
      </c>
      <c r="T98" s="531">
        <f t="shared" si="44"/>
        <v>0</v>
      </c>
      <c r="U98" s="818"/>
      <c r="V98" s="821"/>
      <c r="W98" s="821"/>
      <c r="X98" s="821"/>
      <c r="Y98" s="822"/>
      <c r="Z98" s="530"/>
      <c r="AA98" s="531">
        <f t="shared" si="45"/>
        <v>0</v>
      </c>
      <c r="AB98" s="825"/>
      <c r="AC98" s="821"/>
      <c r="AD98" s="822"/>
      <c r="AE98" s="530"/>
    </row>
    <row r="99" spans="1:32">
      <c r="A99" s="590">
        <f>+A98+1</f>
        <v>76</v>
      </c>
      <c r="B99" s="883">
        <v>10</v>
      </c>
      <c r="C99" s="366" t="s">
        <v>742</v>
      </c>
      <c r="D99" s="1030" t="s">
        <v>1037</v>
      </c>
      <c r="E99" s="1031" t="s">
        <v>1277</v>
      </c>
      <c r="F99" s="1032" t="s">
        <v>664</v>
      </c>
      <c r="G99" s="530">
        <f t="shared" si="40"/>
        <v>0</v>
      </c>
      <c r="H99" s="531">
        <f t="shared" si="41"/>
        <v>0</v>
      </c>
      <c r="I99" s="818"/>
      <c r="J99" s="821"/>
      <c r="K99" s="821"/>
      <c r="L99" s="1034"/>
      <c r="M99" s="530"/>
      <c r="N99" s="531">
        <f t="shared" si="42"/>
        <v>0</v>
      </c>
      <c r="O99" s="825"/>
      <c r="P99" s="821"/>
      <c r="Q99" s="822"/>
      <c r="R99" s="530"/>
      <c r="S99" s="530">
        <f t="shared" si="43"/>
        <v>0</v>
      </c>
      <c r="T99" s="531">
        <f t="shared" si="44"/>
        <v>0</v>
      </c>
      <c r="U99" s="818"/>
      <c r="V99" s="821"/>
      <c r="W99" s="821"/>
      <c r="X99" s="821"/>
      <c r="Y99" s="822"/>
      <c r="Z99" s="530"/>
      <c r="AA99" s="531">
        <f t="shared" si="45"/>
        <v>0</v>
      </c>
      <c r="AB99" s="825"/>
      <c r="AC99" s="821"/>
      <c r="AD99" s="822"/>
      <c r="AE99" s="530"/>
    </row>
    <row r="100" spans="1:32" s="1087" customFormat="1">
      <c r="A100" s="1382" t="str">
        <f>+$E$197&amp;". "&amp;$F$197</f>
        <v>7. Strand beruházás</v>
      </c>
      <c r="B100" s="1383"/>
      <c r="C100" s="1383"/>
      <c r="D100" s="1383"/>
      <c r="E100" s="1383"/>
      <c r="F100" s="1384"/>
      <c r="G100" s="1080">
        <f>+H100+M100+N100+R100</f>
        <v>350000</v>
      </c>
      <c r="H100" s="1081">
        <f>+I100+J100+K100+L100</f>
        <v>0</v>
      </c>
      <c r="I100" s="868"/>
      <c r="J100" s="869"/>
      <c r="K100" s="869"/>
      <c r="L100" s="1082"/>
      <c r="M100" s="1080"/>
      <c r="N100" s="1081">
        <f>+O100+P100+Q100</f>
        <v>350000</v>
      </c>
      <c r="O100" s="868">
        <v>350000</v>
      </c>
      <c r="P100" s="869"/>
      <c r="Q100" s="870"/>
      <c r="R100" s="1080"/>
      <c r="S100" s="1080">
        <f>+T100+Z100+AA100+AE100</f>
        <v>350000</v>
      </c>
      <c r="T100" s="1081">
        <f>+U100+V100+W100+X100+Y100</f>
        <v>0</v>
      </c>
      <c r="U100" s="868"/>
      <c r="V100" s="1083"/>
      <c r="W100" s="1083"/>
      <c r="X100" s="1083"/>
      <c r="Y100" s="1084"/>
      <c r="Z100" s="1080"/>
      <c r="AA100" s="1081">
        <f t="shared" si="45"/>
        <v>350000</v>
      </c>
      <c r="AB100" s="1085">
        <v>350000</v>
      </c>
      <c r="AC100" s="1083"/>
      <c r="AD100" s="1084"/>
      <c r="AE100" s="1080"/>
      <c r="AF100" s="1086">
        <f>-G100+S100</f>
        <v>0</v>
      </c>
    </row>
    <row r="101" spans="1:32">
      <c r="A101" s="590">
        <f>+A99+1</f>
        <v>77</v>
      </c>
      <c r="B101" s="884">
        <v>10</v>
      </c>
      <c r="C101" s="369" t="s">
        <v>746</v>
      </c>
      <c r="D101" s="1022" t="s">
        <v>745</v>
      </c>
      <c r="E101" s="1025" t="s">
        <v>1265</v>
      </c>
      <c r="F101" s="1027" t="s">
        <v>673</v>
      </c>
      <c r="G101" s="530">
        <f t="shared" si="40"/>
        <v>0</v>
      </c>
      <c r="H101" s="531">
        <f t="shared" si="41"/>
        <v>0</v>
      </c>
      <c r="I101" s="825"/>
      <c r="J101" s="821"/>
      <c r="K101" s="821"/>
      <c r="L101" s="1034"/>
      <c r="M101" s="530"/>
      <c r="N101" s="531">
        <f t="shared" si="42"/>
        <v>0</v>
      </c>
      <c r="O101" s="825"/>
      <c r="P101" s="821"/>
      <c r="Q101" s="822"/>
      <c r="R101" s="530"/>
      <c r="S101" s="530">
        <f t="shared" si="43"/>
        <v>0</v>
      </c>
      <c r="T101" s="531">
        <f t="shared" si="44"/>
        <v>0</v>
      </c>
      <c r="U101" s="825"/>
      <c r="V101" s="821"/>
      <c r="W101" s="821"/>
      <c r="X101" s="821"/>
      <c r="Y101" s="822"/>
      <c r="Z101" s="530"/>
      <c r="AA101" s="531">
        <f t="shared" si="45"/>
        <v>0</v>
      </c>
      <c r="AB101" s="825"/>
      <c r="AC101" s="821"/>
      <c r="AD101" s="822"/>
      <c r="AE101" s="530"/>
    </row>
    <row r="102" spans="1:32" s="1087" customFormat="1">
      <c r="A102" s="1388" t="str">
        <f>+$E$199&amp;". "&amp;$F$199</f>
        <v>9. Önkormányzati céltámogatások felülvizsgálata</v>
      </c>
      <c r="B102" s="1389"/>
      <c r="C102" s="1389"/>
      <c r="D102" s="1389"/>
      <c r="E102" s="1389"/>
      <c r="F102" s="1390"/>
      <c r="G102" s="1080">
        <f t="shared" si="40"/>
        <v>0</v>
      </c>
      <c r="H102" s="1081">
        <f t="shared" si="41"/>
        <v>0</v>
      </c>
      <c r="I102" s="868"/>
      <c r="J102" s="869"/>
      <c r="K102" s="869"/>
      <c r="L102" s="1082"/>
      <c r="M102" s="1080"/>
      <c r="N102" s="1081">
        <f t="shared" si="42"/>
        <v>0</v>
      </c>
      <c r="O102" s="868"/>
      <c r="P102" s="869"/>
      <c r="Q102" s="870"/>
      <c r="R102" s="1080"/>
      <c r="S102" s="1080">
        <f t="shared" si="43"/>
        <v>300</v>
      </c>
      <c r="T102" s="1081">
        <f>+U102+V102+W102+X102+Y102</f>
        <v>300</v>
      </c>
      <c r="U102" s="868"/>
      <c r="V102" s="1088"/>
      <c r="W102" s="1088"/>
      <c r="X102" s="1088"/>
      <c r="Y102" s="1089">
        <v>300</v>
      </c>
      <c r="Z102" s="1080"/>
      <c r="AA102" s="1081">
        <f t="shared" si="45"/>
        <v>0</v>
      </c>
      <c r="AB102" s="1090"/>
      <c r="AC102" s="1088"/>
      <c r="AD102" s="1089"/>
      <c r="AE102" s="1080"/>
      <c r="AF102" s="1086">
        <f>-G102+S102</f>
        <v>300</v>
      </c>
    </row>
    <row r="103" spans="1:32">
      <c r="A103" s="590">
        <f>+A101+1</f>
        <v>78</v>
      </c>
      <c r="B103" s="883">
        <v>10</v>
      </c>
      <c r="C103" s="366" t="s">
        <v>1050</v>
      </c>
      <c r="D103" s="1030" t="s">
        <v>1051</v>
      </c>
      <c r="E103" s="1031" t="s">
        <v>1265</v>
      </c>
      <c r="F103" s="1032" t="s">
        <v>663</v>
      </c>
      <c r="G103" s="530">
        <f t="shared" si="40"/>
        <v>0</v>
      </c>
      <c r="H103" s="531">
        <f t="shared" si="41"/>
        <v>0</v>
      </c>
      <c r="I103" s="818"/>
      <c r="J103" s="821"/>
      <c r="K103" s="819"/>
      <c r="L103" s="1034"/>
      <c r="M103" s="530"/>
      <c r="N103" s="531">
        <f t="shared" si="42"/>
        <v>0</v>
      </c>
      <c r="O103" s="825"/>
      <c r="P103" s="819"/>
      <c r="Q103" s="822"/>
      <c r="R103" s="530"/>
      <c r="S103" s="530">
        <f t="shared" si="43"/>
        <v>0</v>
      </c>
      <c r="T103" s="531">
        <f t="shared" si="44"/>
        <v>0</v>
      </c>
      <c r="U103" s="818"/>
      <c r="V103" s="821"/>
      <c r="W103" s="821"/>
      <c r="X103" s="821"/>
      <c r="Y103" s="822"/>
      <c r="Z103" s="530"/>
      <c r="AA103" s="531">
        <f t="shared" si="45"/>
        <v>0</v>
      </c>
      <c r="AB103" s="825"/>
      <c r="AC103" s="821"/>
      <c r="AD103" s="822"/>
      <c r="AE103" s="530"/>
    </row>
    <row r="104" spans="1:32" ht="12.75" thickBot="1">
      <c r="A104" s="590">
        <f>+A103+1</f>
        <v>79</v>
      </c>
      <c r="B104" s="884">
        <v>9</v>
      </c>
      <c r="C104" s="366" t="s">
        <v>696</v>
      </c>
      <c r="D104" s="1030" t="s">
        <v>697</v>
      </c>
      <c r="E104" s="1031" t="s">
        <v>1265</v>
      </c>
      <c r="F104" s="1032" t="s">
        <v>695</v>
      </c>
      <c r="G104" s="530">
        <f t="shared" si="40"/>
        <v>0</v>
      </c>
      <c r="H104" s="531">
        <f t="shared" si="41"/>
        <v>0</v>
      </c>
      <c r="I104" s="818"/>
      <c r="J104" s="821"/>
      <c r="K104" s="821"/>
      <c r="L104" s="1034"/>
      <c r="M104" s="530"/>
      <c r="N104" s="531">
        <f t="shared" si="42"/>
        <v>0</v>
      </c>
      <c r="O104" s="825"/>
      <c r="P104" s="821"/>
      <c r="Q104" s="822"/>
      <c r="R104" s="530"/>
      <c r="S104" s="530">
        <f t="shared" si="43"/>
        <v>0</v>
      </c>
      <c r="T104" s="531">
        <f t="shared" si="44"/>
        <v>0</v>
      </c>
      <c r="U104" s="818"/>
      <c r="V104" s="821"/>
      <c r="W104" s="821"/>
      <c r="X104" s="821"/>
      <c r="Y104" s="822"/>
      <c r="Z104" s="530"/>
      <c r="AA104" s="531">
        <f t="shared" si="45"/>
        <v>0</v>
      </c>
      <c r="AB104" s="825"/>
      <c r="AC104" s="821"/>
      <c r="AD104" s="822"/>
      <c r="AE104" s="530"/>
    </row>
    <row r="105" spans="1:32" s="521" customFormat="1" ht="12.75" thickBot="1">
      <c r="A105" s="586" t="s">
        <v>597</v>
      </c>
      <c r="B105" s="886"/>
      <c r="C105" s="1391" t="s">
        <v>412</v>
      </c>
      <c r="D105" s="1392"/>
      <c r="E105" s="1392"/>
      <c r="F105" s="1393"/>
      <c r="G105" s="538">
        <f>SUM(G97:G104)</f>
        <v>350000</v>
      </c>
      <c r="H105" s="422">
        <f t="shared" ref="H105:AD105" si="46">SUM(H97:H104)</f>
        <v>0</v>
      </c>
      <c r="I105" s="539">
        <f t="shared" si="46"/>
        <v>0</v>
      </c>
      <c r="J105" s="377">
        <f t="shared" si="46"/>
        <v>0</v>
      </c>
      <c r="K105" s="377">
        <f t="shared" si="46"/>
        <v>0</v>
      </c>
      <c r="L105" s="1035">
        <f t="shared" si="46"/>
        <v>0</v>
      </c>
      <c r="M105" s="538">
        <f>SUM(M97:M104)</f>
        <v>0</v>
      </c>
      <c r="N105" s="422">
        <f t="shared" si="46"/>
        <v>350000</v>
      </c>
      <c r="O105" s="539">
        <f t="shared" si="46"/>
        <v>350000</v>
      </c>
      <c r="P105" s="377">
        <f t="shared" si="46"/>
        <v>0</v>
      </c>
      <c r="Q105" s="364">
        <f t="shared" si="46"/>
        <v>0</v>
      </c>
      <c r="R105" s="538">
        <f t="shared" si="46"/>
        <v>0</v>
      </c>
      <c r="S105" s="538">
        <f t="shared" si="46"/>
        <v>350300</v>
      </c>
      <c r="T105" s="538">
        <f t="shared" si="46"/>
        <v>300</v>
      </c>
      <c r="U105" s="572">
        <f t="shared" si="46"/>
        <v>0</v>
      </c>
      <c r="V105" s="570">
        <f t="shared" si="46"/>
        <v>0</v>
      </c>
      <c r="W105" s="570">
        <f t="shared" si="46"/>
        <v>0</v>
      </c>
      <c r="X105" s="570">
        <f t="shared" si="46"/>
        <v>0</v>
      </c>
      <c r="Y105" s="422">
        <f t="shared" si="46"/>
        <v>300</v>
      </c>
      <c r="Z105" s="538">
        <f t="shared" si="46"/>
        <v>0</v>
      </c>
      <c r="AA105" s="571">
        <f t="shared" si="46"/>
        <v>350000</v>
      </c>
      <c r="AB105" s="569">
        <f t="shared" si="46"/>
        <v>350000</v>
      </c>
      <c r="AC105" s="570">
        <f t="shared" si="46"/>
        <v>0</v>
      </c>
      <c r="AD105" s="422">
        <f t="shared" si="46"/>
        <v>0</v>
      </c>
      <c r="AE105" s="538">
        <f>SUM(AE97:AE104)</f>
        <v>0</v>
      </c>
    </row>
    <row r="106" spans="1:32" s="525" customFormat="1" ht="12.75" customHeight="1" thickBot="1">
      <c r="A106" s="590">
        <f>+A104+1</f>
        <v>80</v>
      </c>
      <c r="B106" s="884">
        <v>11</v>
      </c>
      <c r="C106" s="366" t="s">
        <v>19</v>
      </c>
      <c r="D106" s="1030" t="s">
        <v>19</v>
      </c>
      <c r="E106" s="1031" t="s">
        <v>19</v>
      </c>
      <c r="F106" s="1032" t="s">
        <v>19</v>
      </c>
      <c r="G106" s="518">
        <f>+H106+M106+N106+R106</f>
        <v>0</v>
      </c>
      <c r="H106" s="519">
        <f>+I106+J106+K106+L106</f>
        <v>0</v>
      </c>
      <c r="I106" s="818"/>
      <c r="J106" s="821"/>
      <c r="K106" s="821"/>
      <c r="L106" s="1034"/>
      <c r="M106" s="518"/>
      <c r="N106" s="519">
        <f>+O106+P106+Q106</f>
        <v>0</v>
      </c>
      <c r="O106" s="825"/>
      <c r="P106" s="821"/>
      <c r="Q106" s="822"/>
      <c r="R106" s="518"/>
      <c r="S106" s="518">
        <f>+T106+Z106+AA106+AE106</f>
        <v>0</v>
      </c>
      <c r="T106" s="519">
        <f>+U106+V106+W106+X106+Y106</f>
        <v>0</v>
      </c>
      <c r="U106" s="818"/>
      <c r="V106" s="821"/>
      <c r="W106" s="821"/>
      <c r="X106" s="821"/>
      <c r="Y106" s="822"/>
      <c r="Z106" s="518"/>
      <c r="AA106" s="519">
        <f>+AB106+AC106+AD106</f>
        <v>0</v>
      </c>
      <c r="AB106" s="825"/>
      <c r="AC106" s="821"/>
      <c r="AD106" s="822"/>
      <c r="AE106" s="518"/>
    </row>
    <row r="107" spans="1:32" s="521" customFormat="1" ht="12.75" thickBot="1">
      <c r="A107" s="586" t="s">
        <v>598</v>
      </c>
      <c r="B107" s="886"/>
      <c r="C107" s="1391" t="s">
        <v>413</v>
      </c>
      <c r="D107" s="1392"/>
      <c r="E107" s="1392"/>
      <c r="F107" s="1393"/>
      <c r="G107" s="538">
        <f t="shared" ref="G107:R107" si="47">SUM(G106:G106)</f>
        <v>0</v>
      </c>
      <c r="H107" s="422">
        <f t="shared" si="47"/>
        <v>0</v>
      </c>
      <c r="I107" s="539">
        <f t="shared" si="47"/>
        <v>0</v>
      </c>
      <c r="J107" s="377">
        <f t="shared" si="47"/>
        <v>0</v>
      </c>
      <c r="K107" s="377">
        <f t="shared" si="47"/>
        <v>0</v>
      </c>
      <c r="L107" s="1035">
        <f t="shared" si="47"/>
        <v>0</v>
      </c>
      <c r="M107" s="538">
        <f>SUM(M106:M106)</f>
        <v>0</v>
      </c>
      <c r="N107" s="422">
        <f t="shared" si="47"/>
        <v>0</v>
      </c>
      <c r="O107" s="539">
        <f t="shared" si="47"/>
        <v>0</v>
      </c>
      <c r="P107" s="377">
        <f t="shared" si="47"/>
        <v>0</v>
      </c>
      <c r="Q107" s="364">
        <f t="shared" si="47"/>
        <v>0</v>
      </c>
      <c r="R107" s="538">
        <f t="shared" si="47"/>
        <v>0</v>
      </c>
      <c r="S107" s="538">
        <f t="shared" ref="S107:AD107" si="48">SUM(S106:S106)</f>
        <v>0</v>
      </c>
      <c r="T107" s="538">
        <f t="shared" si="48"/>
        <v>0</v>
      </c>
      <c r="U107" s="572">
        <f t="shared" si="48"/>
        <v>0</v>
      </c>
      <c r="V107" s="570">
        <f t="shared" si="48"/>
        <v>0</v>
      </c>
      <c r="W107" s="570">
        <f t="shared" si="48"/>
        <v>0</v>
      </c>
      <c r="X107" s="570">
        <f t="shared" si="48"/>
        <v>0</v>
      </c>
      <c r="Y107" s="422">
        <f t="shared" si="48"/>
        <v>0</v>
      </c>
      <c r="Z107" s="538">
        <f t="shared" si="48"/>
        <v>0</v>
      </c>
      <c r="AA107" s="571">
        <f t="shared" si="48"/>
        <v>0</v>
      </c>
      <c r="AB107" s="569">
        <f t="shared" si="48"/>
        <v>0</v>
      </c>
      <c r="AC107" s="570">
        <f t="shared" si="48"/>
        <v>0</v>
      </c>
      <c r="AD107" s="422">
        <f t="shared" si="48"/>
        <v>0</v>
      </c>
      <c r="AE107" s="538">
        <f>SUM(AE106:AE106)</f>
        <v>0</v>
      </c>
    </row>
    <row r="108" spans="1:32" s="521" customFormat="1" ht="12.75" thickBot="1">
      <c r="A108" s="587" t="s">
        <v>23</v>
      </c>
      <c r="B108" s="887"/>
      <c r="C108" s="1394" t="s">
        <v>414</v>
      </c>
      <c r="D108" s="1395"/>
      <c r="E108" s="1395"/>
      <c r="F108" s="1396"/>
      <c r="G108" s="541">
        <f t="shared" ref="G108:AE108" si="49">+G96+G105+G107</f>
        <v>908062</v>
      </c>
      <c r="H108" s="541">
        <f t="shared" si="49"/>
        <v>12100</v>
      </c>
      <c r="I108" s="542">
        <f t="shared" si="49"/>
        <v>12100</v>
      </c>
      <c r="J108" s="543">
        <f t="shared" si="49"/>
        <v>0</v>
      </c>
      <c r="K108" s="543">
        <f t="shared" si="49"/>
        <v>0</v>
      </c>
      <c r="L108" s="1036">
        <f t="shared" si="49"/>
        <v>0</v>
      </c>
      <c r="M108" s="541">
        <f t="shared" si="49"/>
        <v>523464</v>
      </c>
      <c r="N108" s="541">
        <f t="shared" si="49"/>
        <v>362499</v>
      </c>
      <c r="O108" s="542">
        <f t="shared" si="49"/>
        <v>352499</v>
      </c>
      <c r="P108" s="543">
        <f t="shared" si="49"/>
        <v>10000</v>
      </c>
      <c r="Q108" s="544">
        <f t="shared" si="49"/>
        <v>0</v>
      </c>
      <c r="R108" s="541">
        <f t="shared" si="49"/>
        <v>9999</v>
      </c>
      <c r="S108" s="541">
        <f t="shared" si="49"/>
        <v>817442</v>
      </c>
      <c r="T108" s="541">
        <f t="shared" si="49"/>
        <v>517942</v>
      </c>
      <c r="U108" s="573">
        <f t="shared" si="49"/>
        <v>0</v>
      </c>
      <c r="V108" s="574">
        <f t="shared" si="49"/>
        <v>0</v>
      </c>
      <c r="W108" s="574">
        <f t="shared" si="49"/>
        <v>4900</v>
      </c>
      <c r="X108" s="574">
        <f t="shared" si="49"/>
        <v>0</v>
      </c>
      <c r="Y108" s="575">
        <f t="shared" si="49"/>
        <v>513042</v>
      </c>
      <c r="Z108" s="541">
        <f t="shared" si="49"/>
        <v>0</v>
      </c>
      <c r="AA108" s="541">
        <f t="shared" si="49"/>
        <v>299500</v>
      </c>
      <c r="AB108" s="573">
        <f t="shared" si="49"/>
        <v>328500</v>
      </c>
      <c r="AC108" s="574">
        <f t="shared" si="49"/>
        <v>-29000</v>
      </c>
      <c r="AD108" s="575">
        <f t="shared" si="49"/>
        <v>0</v>
      </c>
      <c r="AE108" s="541">
        <f t="shared" si="49"/>
        <v>0</v>
      </c>
    </row>
    <row r="109" spans="1:32" ht="12.75" thickBot="1">
      <c r="A109" s="878"/>
      <c r="B109" s="1037"/>
      <c r="C109" s="1038"/>
      <c r="D109" s="1039"/>
      <c r="E109" s="1040"/>
      <c r="F109" s="537"/>
      <c r="G109" s="546"/>
      <c r="H109" s="547"/>
      <c r="I109" s="548"/>
      <c r="J109" s="549"/>
      <c r="K109" s="549"/>
      <c r="L109" s="1041"/>
      <c r="M109" s="546"/>
      <c r="N109" s="547"/>
      <c r="O109" s="548"/>
      <c r="P109" s="549"/>
      <c r="Q109" s="550"/>
      <c r="R109" s="546"/>
      <c r="S109" s="546"/>
      <c r="T109" s="547"/>
      <c r="U109" s="548"/>
      <c r="V109" s="549"/>
      <c r="W109" s="549"/>
      <c r="X109" s="549"/>
      <c r="Y109" s="550"/>
      <c r="Z109" s="546"/>
      <c r="AA109" s="547"/>
      <c r="AB109" s="548"/>
      <c r="AC109" s="549"/>
      <c r="AD109" s="550"/>
      <c r="AE109" s="546"/>
    </row>
    <row r="110" spans="1:32" s="536" customFormat="1">
      <c r="A110" s="591">
        <f>A106+1</f>
        <v>81</v>
      </c>
      <c r="B110" s="883">
        <v>12</v>
      </c>
      <c r="C110" s="371" t="s">
        <v>676</v>
      </c>
      <c r="D110" s="1042" t="s">
        <v>675</v>
      </c>
      <c r="E110" s="1043" t="s">
        <v>1265</v>
      </c>
      <c r="F110" s="1019" t="s">
        <v>1010</v>
      </c>
      <c r="G110" s="516">
        <f t="shared" ref="G110:G115" si="50">+H110+M110+N110+R110</f>
        <v>0</v>
      </c>
      <c r="H110" s="517">
        <f t="shared" ref="H110:H115" si="51">+I110+J110+K110+L110</f>
        <v>0</v>
      </c>
      <c r="I110" s="827"/>
      <c r="J110" s="828"/>
      <c r="K110" s="828"/>
      <c r="L110" s="1044"/>
      <c r="M110" s="516"/>
      <c r="N110" s="517">
        <f t="shared" ref="N110:N115" si="52">+O110+P110+Q110</f>
        <v>0</v>
      </c>
      <c r="O110" s="827"/>
      <c r="P110" s="828"/>
      <c r="Q110" s="829"/>
      <c r="R110" s="516"/>
      <c r="S110" s="516">
        <f t="shared" ref="S110:S115" si="53">+T110+Z110+AA110+AE110</f>
        <v>0</v>
      </c>
      <c r="T110" s="517">
        <f t="shared" ref="T110:T115" si="54">+U110+V110+W110+X110+Y110</f>
        <v>0</v>
      </c>
      <c r="U110" s="827"/>
      <c r="V110" s="828"/>
      <c r="W110" s="828"/>
      <c r="X110" s="828"/>
      <c r="Y110" s="829"/>
      <c r="Z110" s="516"/>
      <c r="AA110" s="517">
        <f t="shared" ref="AA110:AA115" si="55">+AB110+AC110+AD110</f>
        <v>0</v>
      </c>
      <c r="AB110" s="827"/>
      <c r="AC110" s="828"/>
      <c r="AD110" s="829"/>
      <c r="AE110" s="516"/>
    </row>
    <row r="111" spans="1:32" s="1087" customFormat="1">
      <c r="A111" s="1388" t="str">
        <f>+$E$201&amp;". "&amp;$F$201</f>
        <v>11. HKÖH kiadásainak felülvizsgálata (köztisztviselői üres álláshelyek zárolása)</v>
      </c>
      <c r="B111" s="1389"/>
      <c r="C111" s="1389"/>
      <c r="D111" s="1389"/>
      <c r="E111" s="1389"/>
      <c r="F111" s="1390"/>
      <c r="G111" s="1080">
        <f t="shared" si="50"/>
        <v>0</v>
      </c>
      <c r="H111" s="1081">
        <f t="shared" si="51"/>
        <v>0</v>
      </c>
      <c r="I111" s="868"/>
      <c r="J111" s="869"/>
      <c r="K111" s="869"/>
      <c r="L111" s="1082"/>
      <c r="M111" s="1080"/>
      <c r="N111" s="1081">
        <f t="shared" si="52"/>
        <v>0</v>
      </c>
      <c r="O111" s="868"/>
      <c r="P111" s="869"/>
      <c r="Q111" s="870"/>
      <c r="R111" s="1080"/>
      <c r="S111" s="1080">
        <f t="shared" si="53"/>
        <v>-14123</v>
      </c>
      <c r="T111" s="1081">
        <f t="shared" si="54"/>
        <v>-14123</v>
      </c>
      <c r="U111" s="868">
        <f>-14725+2777</f>
        <v>-11948</v>
      </c>
      <c r="V111" s="1088">
        <f>-2716+541</f>
        <v>-2175</v>
      </c>
      <c r="W111" s="1088"/>
      <c r="X111" s="1088"/>
      <c r="Y111" s="1089"/>
      <c r="Z111" s="1080"/>
      <c r="AA111" s="1081">
        <f t="shared" si="55"/>
        <v>0</v>
      </c>
      <c r="AB111" s="1090"/>
      <c r="AC111" s="1088"/>
      <c r="AD111" s="1089"/>
      <c r="AE111" s="1080"/>
      <c r="AF111" s="1086">
        <f>-G111+S111</f>
        <v>-14123</v>
      </c>
    </row>
    <row r="112" spans="1:32" s="525" customFormat="1">
      <c r="A112" s="590">
        <f>+A110+1</f>
        <v>82</v>
      </c>
      <c r="B112" s="884">
        <v>12</v>
      </c>
      <c r="C112" s="369" t="s">
        <v>1052</v>
      </c>
      <c r="D112" s="1022" t="s">
        <v>1297</v>
      </c>
      <c r="E112" s="1025" t="s">
        <v>1265</v>
      </c>
      <c r="F112" s="1027" t="s">
        <v>1288</v>
      </c>
      <c r="G112" s="530">
        <f t="shared" si="50"/>
        <v>0</v>
      </c>
      <c r="H112" s="531">
        <f t="shared" si="51"/>
        <v>0</v>
      </c>
      <c r="I112" s="825"/>
      <c r="J112" s="821"/>
      <c r="K112" s="821"/>
      <c r="L112" s="1034"/>
      <c r="M112" s="530"/>
      <c r="N112" s="531">
        <f t="shared" si="52"/>
        <v>0</v>
      </c>
      <c r="O112" s="825"/>
      <c r="P112" s="821"/>
      <c r="Q112" s="822"/>
      <c r="R112" s="530"/>
      <c r="S112" s="530">
        <f t="shared" si="53"/>
        <v>0</v>
      </c>
      <c r="T112" s="531">
        <f t="shared" si="54"/>
        <v>0</v>
      </c>
      <c r="U112" s="825"/>
      <c r="V112" s="821"/>
      <c r="W112" s="821"/>
      <c r="X112" s="821"/>
      <c r="Y112" s="822"/>
      <c r="Z112" s="530"/>
      <c r="AA112" s="531">
        <f t="shared" si="55"/>
        <v>0</v>
      </c>
      <c r="AB112" s="825"/>
      <c r="AC112" s="821"/>
      <c r="AD112" s="822"/>
      <c r="AE112" s="530"/>
    </row>
    <row r="113" spans="1:31">
      <c r="A113" s="590">
        <f>+A112+1</f>
        <v>83</v>
      </c>
      <c r="B113" s="884">
        <v>13</v>
      </c>
      <c r="C113" s="369" t="s">
        <v>710</v>
      </c>
      <c r="D113" s="1022" t="s">
        <v>709</v>
      </c>
      <c r="E113" s="1025" t="s">
        <v>1269</v>
      </c>
      <c r="F113" s="1027" t="s">
        <v>785</v>
      </c>
      <c r="G113" s="530">
        <f t="shared" si="50"/>
        <v>0</v>
      </c>
      <c r="H113" s="531">
        <f t="shared" si="51"/>
        <v>0</v>
      </c>
      <c r="I113" s="825"/>
      <c r="J113" s="821"/>
      <c r="K113" s="821"/>
      <c r="L113" s="1034"/>
      <c r="M113" s="530"/>
      <c r="N113" s="531">
        <f t="shared" si="52"/>
        <v>0</v>
      </c>
      <c r="O113" s="825"/>
      <c r="P113" s="821"/>
      <c r="Q113" s="822"/>
      <c r="R113" s="530"/>
      <c r="S113" s="530">
        <f t="shared" si="53"/>
        <v>0</v>
      </c>
      <c r="T113" s="531">
        <f t="shared" si="54"/>
        <v>0</v>
      </c>
      <c r="U113" s="1045"/>
      <c r="V113" s="821"/>
      <c r="W113" s="821"/>
      <c r="X113" s="821"/>
      <c r="Y113" s="822"/>
      <c r="Z113" s="530"/>
      <c r="AA113" s="531">
        <f t="shared" si="55"/>
        <v>0</v>
      </c>
      <c r="AB113" s="825"/>
      <c r="AC113" s="821"/>
      <c r="AD113" s="822"/>
      <c r="AE113" s="530"/>
    </row>
    <row r="114" spans="1:31">
      <c r="A114" s="590">
        <f>+A113+1</f>
        <v>84</v>
      </c>
      <c r="B114" s="884">
        <v>13</v>
      </c>
      <c r="C114" s="369" t="s">
        <v>710</v>
      </c>
      <c r="D114" s="1022" t="s">
        <v>709</v>
      </c>
      <c r="E114" s="1025" t="s">
        <v>1269</v>
      </c>
      <c r="F114" s="1027" t="s">
        <v>1055</v>
      </c>
      <c r="G114" s="530">
        <f t="shared" si="50"/>
        <v>0</v>
      </c>
      <c r="H114" s="531">
        <f t="shared" si="51"/>
        <v>0</v>
      </c>
      <c r="I114" s="825"/>
      <c r="J114" s="821"/>
      <c r="K114" s="821"/>
      <c r="L114" s="1034"/>
      <c r="M114" s="530"/>
      <c r="N114" s="531">
        <f t="shared" si="52"/>
        <v>0</v>
      </c>
      <c r="O114" s="825"/>
      <c r="P114" s="821"/>
      <c r="Q114" s="822"/>
      <c r="R114" s="530"/>
      <c r="S114" s="530">
        <f t="shared" si="53"/>
        <v>0</v>
      </c>
      <c r="T114" s="531">
        <f t="shared" si="54"/>
        <v>0</v>
      </c>
      <c r="U114" s="1045"/>
      <c r="V114" s="821"/>
      <c r="W114" s="821"/>
      <c r="X114" s="821"/>
      <c r="Y114" s="822"/>
      <c r="Z114" s="530"/>
      <c r="AA114" s="531">
        <f t="shared" si="55"/>
        <v>0</v>
      </c>
      <c r="AB114" s="825"/>
      <c r="AC114" s="821"/>
      <c r="AD114" s="822"/>
      <c r="AE114" s="530"/>
    </row>
    <row r="115" spans="1:31" ht="12.75" thickBot="1">
      <c r="A115" s="590">
        <f>+A114+1</f>
        <v>85</v>
      </c>
      <c r="B115" s="884">
        <v>13</v>
      </c>
      <c r="C115" s="366" t="s">
        <v>1017</v>
      </c>
      <c r="D115" s="1030" t="s">
        <v>1018</v>
      </c>
      <c r="E115" s="1031" t="s">
        <v>1265</v>
      </c>
      <c r="F115" s="1032" t="s">
        <v>1010</v>
      </c>
      <c r="G115" s="530">
        <f t="shared" si="50"/>
        <v>0</v>
      </c>
      <c r="H115" s="531">
        <f t="shared" si="51"/>
        <v>0</v>
      </c>
      <c r="I115" s="825"/>
      <c r="J115" s="821"/>
      <c r="K115" s="821"/>
      <c r="L115" s="1034"/>
      <c r="M115" s="530"/>
      <c r="N115" s="531">
        <f t="shared" si="52"/>
        <v>0</v>
      </c>
      <c r="O115" s="825"/>
      <c r="P115" s="821"/>
      <c r="Q115" s="822"/>
      <c r="R115" s="530"/>
      <c r="S115" s="518">
        <f t="shared" si="53"/>
        <v>0</v>
      </c>
      <c r="T115" s="519">
        <f t="shared" si="54"/>
        <v>0</v>
      </c>
      <c r="U115" s="1045"/>
      <c r="V115" s="821"/>
      <c r="W115" s="821"/>
      <c r="X115" s="821"/>
      <c r="Y115" s="822"/>
      <c r="Z115" s="530"/>
      <c r="AA115" s="519">
        <f t="shared" si="55"/>
        <v>0</v>
      </c>
      <c r="AB115" s="825"/>
      <c r="AC115" s="821"/>
      <c r="AD115" s="822"/>
      <c r="AE115" s="530"/>
    </row>
    <row r="116" spans="1:31" s="521" customFormat="1" ht="12.75" thickBot="1">
      <c r="A116" s="586" t="s">
        <v>599</v>
      </c>
      <c r="B116" s="886"/>
      <c r="C116" s="1391" t="s">
        <v>879</v>
      </c>
      <c r="D116" s="1392"/>
      <c r="E116" s="1392"/>
      <c r="F116" s="1393"/>
      <c r="G116" s="538">
        <f t="shared" ref="G116:AE116" si="56">SUM(G110:G115)</f>
        <v>0</v>
      </c>
      <c r="H116" s="422">
        <f t="shared" si="56"/>
        <v>0</v>
      </c>
      <c r="I116" s="539">
        <f t="shared" si="56"/>
        <v>0</v>
      </c>
      <c r="J116" s="377">
        <f t="shared" si="56"/>
        <v>0</v>
      </c>
      <c r="K116" s="377">
        <f t="shared" si="56"/>
        <v>0</v>
      </c>
      <c r="L116" s="1035">
        <f t="shared" si="56"/>
        <v>0</v>
      </c>
      <c r="M116" s="538">
        <f t="shared" si="56"/>
        <v>0</v>
      </c>
      <c r="N116" s="422">
        <f t="shared" si="56"/>
        <v>0</v>
      </c>
      <c r="O116" s="539">
        <f t="shared" si="56"/>
        <v>0</v>
      </c>
      <c r="P116" s="377">
        <f t="shared" si="56"/>
        <v>0</v>
      </c>
      <c r="Q116" s="364">
        <f t="shared" si="56"/>
        <v>0</v>
      </c>
      <c r="R116" s="538">
        <f t="shared" si="56"/>
        <v>0</v>
      </c>
      <c r="S116" s="538">
        <f t="shared" si="56"/>
        <v>-14123</v>
      </c>
      <c r="T116" s="568">
        <f t="shared" si="56"/>
        <v>-14123</v>
      </c>
      <c r="U116" s="569">
        <f t="shared" si="56"/>
        <v>-11948</v>
      </c>
      <c r="V116" s="570">
        <f t="shared" si="56"/>
        <v>-2175</v>
      </c>
      <c r="W116" s="570">
        <f t="shared" si="56"/>
        <v>0</v>
      </c>
      <c r="X116" s="570">
        <f t="shared" si="56"/>
        <v>0</v>
      </c>
      <c r="Y116" s="422">
        <f t="shared" si="56"/>
        <v>0</v>
      </c>
      <c r="Z116" s="538">
        <f t="shared" si="56"/>
        <v>0</v>
      </c>
      <c r="AA116" s="571">
        <f t="shared" si="56"/>
        <v>0</v>
      </c>
      <c r="AB116" s="569">
        <f t="shared" si="56"/>
        <v>0</v>
      </c>
      <c r="AC116" s="570">
        <f t="shared" si="56"/>
        <v>0</v>
      </c>
      <c r="AD116" s="422">
        <f t="shared" si="56"/>
        <v>0</v>
      </c>
      <c r="AE116" s="538">
        <f t="shared" si="56"/>
        <v>0</v>
      </c>
    </row>
    <row r="117" spans="1:31" s="536" customFormat="1">
      <c r="A117" s="946">
        <f>+A115+1</f>
        <v>86</v>
      </c>
      <c r="B117" s="889">
        <v>14</v>
      </c>
      <c r="C117" s="371" t="s">
        <v>676</v>
      </c>
      <c r="D117" s="1042" t="s">
        <v>675</v>
      </c>
      <c r="E117" s="1043" t="s">
        <v>1278</v>
      </c>
      <c r="F117" s="1019" t="s">
        <v>417</v>
      </c>
      <c r="G117" s="516">
        <f>+H117+M117+N117+R117</f>
        <v>0</v>
      </c>
      <c r="H117" s="517">
        <f>+I117+J117+K117+L117</f>
        <v>0</v>
      </c>
      <c r="I117" s="827"/>
      <c r="J117" s="828"/>
      <c r="K117" s="828"/>
      <c r="L117" s="1044"/>
      <c r="M117" s="516"/>
      <c r="N117" s="517">
        <f>+O117+P117+Q117</f>
        <v>0</v>
      </c>
      <c r="O117" s="827"/>
      <c r="P117" s="828"/>
      <c r="Q117" s="829"/>
      <c r="R117" s="516"/>
      <c r="S117" s="516">
        <f>+T117+Z117+AA117+AE117</f>
        <v>0</v>
      </c>
      <c r="T117" s="517">
        <f>+U117+V117+W117+Y117</f>
        <v>0</v>
      </c>
      <c r="U117" s="827"/>
      <c r="V117" s="828"/>
      <c r="W117" s="828"/>
      <c r="X117" s="828"/>
      <c r="Y117" s="829"/>
      <c r="Z117" s="516"/>
      <c r="AA117" s="517">
        <f>+AB117+AC117+AD117</f>
        <v>0</v>
      </c>
      <c r="AB117" s="1046"/>
      <c r="AC117" s="1047"/>
      <c r="AD117" s="1048"/>
      <c r="AE117" s="516"/>
    </row>
    <row r="118" spans="1:31" s="536" customFormat="1">
      <c r="A118" s="590">
        <f>+A117+1</f>
        <v>87</v>
      </c>
      <c r="B118" s="884">
        <v>15</v>
      </c>
      <c r="C118" s="366" t="s">
        <v>1090</v>
      </c>
      <c r="D118" s="1030" t="s">
        <v>741</v>
      </c>
      <c r="E118" s="1031" t="s">
        <v>1265</v>
      </c>
      <c r="F118" s="1032" t="s">
        <v>656</v>
      </c>
      <c r="G118" s="530">
        <f>+H118+M118+N118+R118</f>
        <v>0</v>
      </c>
      <c r="H118" s="531">
        <f>+I118+J118+K118+L118</f>
        <v>0</v>
      </c>
      <c r="I118" s="825"/>
      <c r="J118" s="821"/>
      <c r="K118" s="821"/>
      <c r="L118" s="1034"/>
      <c r="M118" s="530"/>
      <c r="N118" s="531">
        <f>+O118+P118+Q118</f>
        <v>0</v>
      </c>
      <c r="O118" s="825"/>
      <c r="P118" s="821"/>
      <c r="Q118" s="822"/>
      <c r="R118" s="530"/>
      <c r="S118" s="518">
        <f>+T118+Z118+AA118+AE118</f>
        <v>0</v>
      </c>
      <c r="T118" s="519">
        <f>+U118+V118+W118+X118+Y118</f>
        <v>0</v>
      </c>
      <c r="U118" s="825"/>
      <c r="V118" s="821"/>
      <c r="W118" s="821"/>
      <c r="X118" s="821"/>
      <c r="Y118" s="822"/>
      <c r="Z118" s="530"/>
      <c r="AA118" s="519">
        <f>+AB118+AC118+AD118</f>
        <v>0</v>
      </c>
      <c r="AB118" s="825"/>
      <c r="AC118" s="821"/>
      <c r="AD118" s="822"/>
      <c r="AE118" s="530"/>
    </row>
    <row r="119" spans="1:31" s="536" customFormat="1" ht="12.75" thickBot="1">
      <c r="A119" s="590">
        <f>+A118+1</f>
        <v>88</v>
      </c>
      <c r="B119" s="884">
        <v>16</v>
      </c>
      <c r="C119" s="366" t="s">
        <v>743</v>
      </c>
      <c r="D119" s="1030" t="s">
        <v>744</v>
      </c>
      <c r="E119" s="1031" t="s">
        <v>1265</v>
      </c>
      <c r="F119" s="1032" t="s">
        <v>669</v>
      </c>
      <c r="G119" s="530">
        <f>+H119+M119+N119+R119</f>
        <v>0</v>
      </c>
      <c r="H119" s="531">
        <f>+I119+J119+K119+L119</f>
        <v>0</v>
      </c>
      <c r="I119" s="825"/>
      <c r="J119" s="821"/>
      <c r="K119" s="821"/>
      <c r="L119" s="1034"/>
      <c r="M119" s="530"/>
      <c r="N119" s="531">
        <f>+O119+P119+Q119</f>
        <v>0</v>
      </c>
      <c r="O119" s="825"/>
      <c r="P119" s="821"/>
      <c r="Q119" s="822"/>
      <c r="R119" s="530"/>
      <c r="S119" s="530">
        <f>+T119+Z119+AA119+AE119</f>
        <v>0</v>
      </c>
      <c r="T119" s="531">
        <f>+U119+V119+W119+Y119</f>
        <v>0</v>
      </c>
      <c r="U119" s="825"/>
      <c r="V119" s="821"/>
      <c r="W119" s="821"/>
      <c r="X119" s="821"/>
      <c r="Y119" s="822"/>
      <c r="Z119" s="530"/>
      <c r="AA119" s="531">
        <f>+AB119+AC119+AD119</f>
        <v>0</v>
      </c>
      <c r="AB119" s="871"/>
      <c r="AC119" s="872"/>
      <c r="AD119" s="873"/>
      <c r="AE119" s="530"/>
    </row>
    <row r="120" spans="1:31" s="521" customFormat="1" ht="12.75" thickBot="1">
      <c r="A120" s="586" t="s">
        <v>641</v>
      </c>
      <c r="B120" s="886"/>
      <c r="C120" s="1391" t="s">
        <v>880</v>
      </c>
      <c r="D120" s="1392"/>
      <c r="E120" s="1392"/>
      <c r="F120" s="1393"/>
      <c r="G120" s="538">
        <f>SUM(G117:G119)</f>
        <v>0</v>
      </c>
      <c r="H120" s="422">
        <f t="shared" ref="H120:R120" si="57">SUM(H117:H119)</f>
        <v>0</v>
      </c>
      <c r="I120" s="539">
        <f t="shared" si="57"/>
        <v>0</v>
      </c>
      <c r="J120" s="377">
        <f t="shared" si="57"/>
        <v>0</v>
      </c>
      <c r="K120" s="377">
        <f t="shared" si="57"/>
        <v>0</v>
      </c>
      <c r="L120" s="1035">
        <f t="shared" si="57"/>
        <v>0</v>
      </c>
      <c r="M120" s="538">
        <f>SUM(M117:M119)</f>
        <v>0</v>
      </c>
      <c r="N120" s="422">
        <f t="shared" si="57"/>
        <v>0</v>
      </c>
      <c r="O120" s="539">
        <f t="shared" si="57"/>
        <v>0</v>
      </c>
      <c r="P120" s="377">
        <f t="shared" si="57"/>
        <v>0</v>
      </c>
      <c r="Q120" s="364">
        <f t="shared" si="57"/>
        <v>0</v>
      </c>
      <c r="R120" s="538">
        <f t="shared" si="57"/>
        <v>0</v>
      </c>
      <c r="S120" s="538">
        <f>SUM(S117:S119)</f>
        <v>0</v>
      </c>
      <c r="T120" s="568">
        <f t="shared" ref="T120:AD120" si="58">SUM(T117:T119)</f>
        <v>0</v>
      </c>
      <c r="U120" s="569">
        <f t="shared" si="58"/>
        <v>0</v>
      </c>
      <c r="V120" s="570">
        <f t="shared" si="58"/>
        <v>0</v>
      </c>
      <c r="W120" s="570">
        <f t="shared" si="58"/>
        <v>0</v>
      </c>
      <c r="X120" s="570">
        <f t="shared" si="58"/>
        <v>0</v>
      </c>
      <c r="Y120" s="422">
        <f t="shared" si="58"/>
        <v>0</v>
      </c>
      <c r="Z120" s="538">
        <f t="shared" si="58"/>
        <v>0</v>
      </c>
      <c r="AA120" s="571">
        <f t="shared" si="58"/>
        <v>0</v>
      </c>
      <c r="AB120" s="569">
        <f t="shared" si="58"/>
        <v>0</v>
      </c>
      <c r="AC120" s="570">
        <f t="shared" si="58"/>
        <v>0</v>
      </c>
      <c r="AD120" s="422">
        <f t="shared" si="58"/>
        <v>0</v>
      </c>
      <c r="AE120" s="538">
        <f>SUM(AE117:AE119)</f>
        <v>0</v>
      </c>
    </row>
    <row r="121" spans="1:31">
      <c r="A121" s="590">
        <f>+A119+1</f>
        <v>89</v>
      </c>
      <c r="B121" s="883">
        <v>17</v>
      </c>
      <c r="C121" s="366" t="s">
        <v>750</v>
      </c>
      <c r="D121" s="1030" t="s">
        <v>749</v>
      </c>
      <c r="E121" s="1031" t="s">
        <v>1265</v>
      </c>
      <c r="F121" s="1032" t="s">
        <v>667</v>
      </c>
      <c r="G121" s="518">
        <f t="shared" ref="G121:G127" si="59">+H121+M121+N121+R121</f>
        <v>0</v>
      </c>
      <c r="H121" s="519">
        <f t="shared" ref="H121:H127" si="60">+I121+J121+K121+L121</f>
        <v>0</v>
      </c>
      <c r="I121" s="818"/>
      <c r="J121" s="819"/>
      <c r="K121" s="819"/>
      <c r="L121" s="1020"/>
      <c r="M121" s="518"/>
      <c r="N121" s="519">
        <f t="shared" ref="N121:N127" si="61">+O121+P121+Q121</f>
        <v>0</v>
      </c>
      <c r="O121" s="818"/>
      <c r="P121" s="819"/>
      <c r="Q121" s="820"/>
      <c r="R121" s="518"/>
      <c r="S121" s="516">
        <f t="shared" ref="S121:S127" si="62">+T121+Z121+AA121+AE121</f>
        <v>0</v>
      </c>
      <c r="T121" s="517">
        <f t="shared" ref="T121:T127" si="63">+U121+V121+W121+X121+Y121</f>
        <v>0</v>
      </c>
      <c r="U121" s="827"/>
      <c r="V121" s="828"/>
      <c r="W121" s="828"/>
      <c r="X121" s="828"/>
      <c r="Y121" s="829"/>
      <c r="Z121" s="518"/>
      <c r="AA121" s="517">
        <f t="shared" ref="AA121:AA127" si="64">+AB121+AC121+AD121</f>
        <v>0</v>
      </c>
      <c r="AB121" s="827"/>
      <c r="AC121" s="828"/>
      <c r="AD121" s="829"/>
      <c r="AE121" s="518"/>
    </row>
    <row r="122" spans="1:31">
      <c r="A122" s="590">
        <f t="shared" ref="A122:A127" si="65">+A121+1</f>
        <v>90</v>
      </c>
      <c r="B122" s="883">
        <v>17</v>
      </c>
      <c r="C122" s="366" t="s">
        <v>750</v>
      </c>
      <c r="D122" s="1030" t="s">
        <v>749</v>
      </c>
      <c r="E122" s="1031" t="s">
        <v>1265</v>
      </c>
      <c r="F122" s="1032" t="s">
        <v>668</v>
      </c>
      <c r="G122" s="518">
        <f t="shared" si="59"/>
        <v>0</v>
      </c>
      <c r="H122" s="519">
        <f t="shared" si="60"/>
        <v>0</v>
      </c>
      <c r="I122" s="818"/>
      <c r="J122" s="819"/>
      <c r="K122" s="819"/>
      <c r="L122" s="1020"/>
      <c r="M122" s="518"/>
      <c r="N122" s="519">
        <f t="shared" si="61"/>
        <v>0</v>
      </c>
      <c r="O122" s="818"/>
      <c r="P122" s="819"/>
      <c r="Q122" s="820"/>
      <c r="R122" s="518"/>
      <c r="S122" s="518">
        <f t="shared" si="62"/>
        <v>0</v>
      </c>
      <c r="T122" s="519">
        <f t="shared" si="63"/>
        <v>0</v>
      </c>
      <c r="U122" s="825"/>
      <c r="V122" s="821"/>
      <c r="W122" s="821"/>
      <c r="X122" s="821"/>
      <c r="Y122" s="822"/>
      <c r="Z122" s="518"/>
      <c r="AA122" s="519">
        <f t="shared" si="64"/>
        <v>0</v>
      </c>
      <c r="AB122" s="825"/>
      <c r="AC122" s="821"/>
      <c r="AD122" s="822"/>
      <c r="AE122" s="518"/>
    </row>
    <row r="123" spans="1:31">
      <c r="A123" s="590">
        <f t="shared" si="65"/>
        <v>91</v>
      </c>
      <c r="B123" s="883">
        <v>17</v>
      </c>
      <c r="C123" s="366" t="s">
        <v>750</v>
      </c>
      <c r="D123" s="1030" t="s">
        <v>749</v>
      </c>
      <c r="E123" s="1031" t="s">
        <v>1265</v>
      </c>
      <c r="F123" s="1032" t="s">
        <v>747</v>
      </c>
      <c r="G123" s="518">
        <f t="shared" si="59"/>
        <v>0</v>
      </c>
      <c r="H123" s="519">
        <f t="shared" si="60"/>
        <v>0</v>
      </c>
      <c r="I123" s="818"/>
      <c r="J123" s="819"/>
      <c r="K123" s="819"/>
      <c r="L123" s="1020"/>
      <c r="M123" s="518"/>
      <c r="N123" s="519">
        <f t="shared" si="61"/>
        <v>0</v>
      </c>
      <c r="O123" s="818"/>
      <c r="P123" s="819"/>
      <c r="Q123" s="820"/>
      <c r="R123" s="518"/>
      <c r="S123" s="518">
        <f t="shared" si="62"/>
        <v>0</v>
      </c>
      <c r="T123" s="519">
        <f t="shared" si="63"/>
        <v>0</v>
      </c>
      <c r="U123" s="825"/>
      <c r="V123" s="821"/>
      <c r="W123" s="821"/>
      <c r="X123" s="821"/>
      <c r="Y123" s="822"/>
      <c r="Z123" s="518"/>
      <c r="AA123" s="519">
        <f t="shared" si="64"/>
        <v>0</v>
      </c>
      <c r="AB123" s="825"/>
      <c r="AC123" s="821"/>
      <c r="AD123" s="822"/>
      <c r="AE123" s="518"/>
    </row>
    <row r="124" spans="1:31">
      <c r="A124" s="590">
        <f t="shared" si="65"/>
        <v>92</v>
      </c>
      <c r="B124" s="883">
        <v>17</v>
      </c>
      <c r="C124" s="366" t="s">
        <v>750</v>
      </c>
      <c r="D124" s="1030" t="s">
        <v>749</v>
      </c>
      <c r="E124" s="1031" t="s">
        <v>1265</v>
      </c>
      <c r="F124" s="1032" t="s">
        <v>748</v>
      </c>
      <c r="G124" s="518">
        <f t="shared" si="59"/>
        <v>0</v>
      </c>
      <c r="H124" s="519">
        <f t="shared" si="60"/>
        <v>0</v>
      </c>
      <c r="I124" s="818"/>
      <c r="J124" s="819"/>
      <c r="K124" s="819"/>
      <c r="L124" s="1020"/>
      <c r="M124" s="518"/>
      <c r="N124" s="519">
        <f t="shared" si="61"/>
        <v>0</v>
      </c>
      <c r="O124" s="818"/>
      <c r="P124" s="819"/>
      <c r="Q124" s="820"/>
      <c r="R124" s="518"/>
      <c r="S124" s="518">
        <f t="shared" si="62"/>
        <v>0</v>
      </c>
      <c r="T124" s="519">
        <f t="shared" si="63"/>
        <v>0</v>
      </c>
      <c r="U124" s="825"/>
      <c r="V124" s="821"/>
      <c r="W124" s="821"/>
      <c r="X124" s="821"/>
      <c r="Y124" s="822"/>
      <c r="Z124" s="518"/>
      <c r="AA124" s="519">
        <f t="shared" si="64"/>
        <v>0</v>
      </c>
      <c r="AB124" s="825"/>
      <c r="AC124" s="821"/>
      <c r="AD124" s="822"/>
      <c r="AE124" s="518"/>
    </row>
    <row r="125" spans="1:31">
      <c r="A125" s="590">
        <f t="shared" si="65"/>
        <v>93</v>
      </c>
      <c r="B125" s="883">
        <v>17</v>
      </c>
      <c r="C125" s="366" t="s">
        <v>682</v>
      </c>
      <c r="D125" s="1030" t="s">
        <v>681</v>
      </c>
      <c r="E125" s="1031" t="s">
        <v>1265</v>
      </c>
      <c r="F125" s="1032" t="s">
        <v>645</v>
      </c>
      <c r="G125" s="518">
        <f t="shared" si="59"/>
        <v>0</v>
      </c>
      <c r="H125" s="519">
        <f t="shared" si="60"/>
        <v>0</v>
      </c>
      <c r="I125" s="818"/>
      <c r="J125" s="819"/>
      <c r="K125" s="819"/>
      <c r="L125" s="1020"/>
      <c r="M125" s="518"/>
      <c r="N125" s="519">
        <f t="shared" si="61"/>
        <v>0</v>
      </c>
      <c r="O125" s="818"/>
      <c r="P125" s="819"/>
      <c r="Q125" s="820"/>
      <c r="R125" s="518"/>
      <c r="S125" s="518">
        <f t="shared" si="62"/>
        <v>0</v>
      </c>
      <c r="T125" s="519">
        <f t="shared" si="63"/>
        <v>0</v>
      </c>
      <c r="U125" s="825"/>
      <c r="V125" s="821"/>
      <c r="W125" s="821"/>
      <c r="X125" s="821"/>
      <c r="Y125" s="822"/>
      <c r="Z125" s="518"/>
      <c r="AA125" s="519">
        <f t="shared" si="64"/>
        <v>0</v>
      </c>
      <c r="AB125" s="825"/>
      <c r="AC125" s="821"/>
      <c r="AD125" s="822"/>
      <c r="AE125" s="518"/>
    </row>
    <row r="126" spans="1:31">
      <c r="A126" s="590">
        <f t="shared" si="65"/>
        <v>94</v>
      </c>
      <c r="B126" s="883">
        <v>17</v>
      </c>
      <c r="C126" s="366" t="s">
        <v>1011</v>
      </c>
      <c r="D126" s="1030" t="s">
        <v>1012</v>
      </c>
      <c r="E126" s="1031" t="s">
        <v>1265</v>
      </c>
      <c r="F126" s="1032" t="s">
        <v>1013</v>
      </c>
      <c r="G126" s="518">
        <f t="shared" si="59"/>
        <v>0</v>
      </c>
      <c r="H126" s="519">
        <f t="shared" si="60"/>
        <v>0</v>
      </c>
      <c r="I126" s="818"/>
      <c r="J126" s="819"/>
      <c r="K126" s="819"/>
      <c r="L126" s="1020"/>
      <c r="M126" s="518"/>
      <c r="N126" s="519">
        <f t="shared" si="61"/>
        <v>0</v>
      </c>
      <c r="O126" s="818"/>
      <c r="P126" s="819"/>
      <c r="Q126" s="820"/>
      <c r="R126" s="518"/>
      <c r="S126" s="518">
        <f t="shared" si="62"/>
        <v>0</v>
      </c>
      <c r="T126" s="519">
        <f t="shared" si="63"/>
        <v>0</v>
      </c>
      <c r="U126" s="825"/>
      <c r="V126" s="821"/>
      <c r="W126" s="821"/>
      <c r="X126" s="821"/>
      <c r="Y126" s="822"/>
      <c r="Z126" s="518"/>
      <c r="AA126" s="519">
        <f t="shared" si="64"/>
        <v>0</v>
      </c>
      <c r="AB126" s="825"/>
      <c r="AC126" s="821"/>
      <c r="AD126" s="822"/>
      <c r="AE126" s="518"/>
    </row>
    <row r="127" spans="1:31" ht="12.75" thickBot="1">
      <c r="A127" s="590">
        <f t="shared" si="65"/>
        <v>95</v>
      </c>
      <c r="B127" s="883">
        <v>17</v>
      </c>
      <c r="C127" s="366" t="s">
        <v>1021</v>
      </c>
      <c r="D127" s="1030" t="s">
        <v>1020</v>
      </c>
      <c r="E127" s="1031" t="s">
        <v>1265</v>
      </c>
      <c r="F127" s="1032" t="s">
        <v>1013</v>
      </c>
      <c r="G127" s="518">
        <f t="shared" si="59"/>
        <v>0</v>
      </c>
      <c r="H127" s="519">
        <f t="shared" si="60"/>
        <v>0</v>
      </c>
      <c r="I127" s="818"/>
      <c r="J127" s="819"/>
      <c r="K127" s="819"/>
      <c r="L127" s="1020"/>
      <c r="M127" s="518"/>
      <c r="N127" s="519">
        <f t="shared" si="61"/>
        <v>0</v>
      </c>
      <c r="O127" s="818"/>
      <c r="P127" s="819"/>
      <c r="Q127" s="820"/>
      <c r="R127" s="518"/>
      <c r="S127" s="534">
        <f t="shared" si="62"/>
        <v>0</v>
      </c>
      <c r="T127" s="535">
        <f t="shared" si="63"/>
        <v>0</v>
      </c>
      <c r="U127" s="836"/>
      <c r="V127" s="833"/>
      <c r="W127" s="833"/>
      <c r="X127" s="833"/>
      <c r="Y127" s="834"/>
      <c r="Z127" s="518"/>
      <c r="AA127" s="535">
        <f t="shared" si="64"/>
        <v>0</v>
      </c>
      <c r="AB127" s="836"/>
      <c r="AC127" s="833"/>
      <c r="AD127" s="834"/>
      <c r="AE127" s="518"/>
    </row>
    <row r="128" spans="1:31" s="521" customFormat="1" ht="12.75" thickBot="1">
      <c r="A128" s="586" t="s">
        <v>755</v>
      </c>
      <c r="B128" s="886"/>
      <c r="C128" s="1391" t="s">
        <v>881</v>
      </c>
      <c r="D128" s="1392"/>
      <c r="E128" s="1392"/>
      <c r="F128" s="1393"/>
      <c r="G128" s="538">
        <f t="shared" ref="G128:R128" si="66">SUM(G121:G127)</f>
        <v>0</v>
      </c>
      <c r="H128" s="422">
        <f t="shared" si="66"/>
        <v>0</v>
      </c>
      <c r="I128" s="539">
        <f t="shared" si="66"/>
        <v>0</v>
      </c>
      <c r="J128" s="377">
        <f t="shared" si="66"/>
        <v>0</v>
      </c>
      <c r="K128" s="377">
        <f t="shared" si="66"/>
        <v>0</v>
      </c>
      <c r="L128" s="1035">
        <f t="shared" si="66"/>
        <v>0</v>
      </c>
      <c r="M128" s="538">
        <f t="shared" si="66"/>
        <v>0</v>
      </c>
      <c r="N128" s="422">
        <f t="shared" si="66"/>
        <v>0</v>
      </c>
      <c r="O128" s="539">
        <f t="shared" si="66"/>
        <v>0</v>
      </c>
      <c r="P128" s="377">
        <f t="shared" si="66"/>
        <v>0</v>
      </c>
      <c r="Q128" s="364">
        <f t="shared" si="66"/>
        <v>0</v>
      </c>
      <c r="R128" s="538">
        <f t="shared" si="66"/>
        <v>0</v>
      </c>
      <c r="S128" s="538">
        <f>SUM(S121:S127)</f>
        <v>0</v>
      </c>
      <c r="T128" s="568">
        <f t="shared" ref="T128:AE128" si="67">SUM(T121:T127)</f>
        <v>0</v>
      </c>
      <c r="U128" s="569">
        <f t="shared" si="67"/>
        <v>0</v>
      </c>
      <c r="V128" s="570">
        <f t="shared" si="67"/>
        <v>0</v>
      </c>
      <c r="W128" s="570">
        <f t="shared" si="67"/>
        <v>0</v>
      </c>
      <c r="X128" s="570">
        <f t="shared" si="67"/>
        <v>0</v>
      </c>
      <c r="Y128" s="422">
        <f t="shared" si="67"/>
        <v>0</v>
      </c>
      <c r="Z128" s="538">
        <f t="shared" si="67"/>
        <v>0</v>
      </c>
      <c r="AA128" s="571">
        <f t="shared" si="67"/>
        <v>0</v>
      </c>
      <c r="AB128" s="570">
        <f t="shared" si="67"/>
        <v>0</v>
      </c>
      <c r="AC128" s="570">
        <f t="shared" si="67"/>
        <v>0</v>
      </c>
      <c r="AD128" s="422">
        <f t="shared" si="67"/>
        <v>0</v>
      </c>
      <c r="AE128" s="538">
        <f t="shared" si="67"/>
        <v>0</v>
      </c>
    </row>
    <row r="129" spans="1:32" s="521" customFormat="1" ht="12.75" thickBot="1">
      <c r="A129" s="587" t="s">
        <v>22</v>
      </c>
      <c r="B129" s="887"/>
      <c r="C129" s="1394" t="s">
        <v>882</v>
      </c>
      <c r="D129" s="1395"/>
      <c r="E129" s="1395"/>
      <c r="F129" s="1396"/>
      <c r="G129" s="541">
        <f t="shared" ref="G129:AE129" si="68">+G116+G120+G128</f>
        <v>0</v>
      </c>
      <c r="H129" s="551">
        <f t="shared" si="68"/>
        <v>0</v>
      </c>
      <c r="I129" s="542">
        <f t="shared" si="68"/>
        <v>0</v>
      </c>
      <c r="J129" s="543">
        <f t="shared" si="68"/>
        <v>0</v>
      </c>
      <c r="K129" s="543">
        <f t="shared" si="68"/>
        <v>0</v>
      </c>
      <c r="L129" s="1036">
        <f t="shared" si="68"/>
        <v>0</v>
      </c>
      <c r="M129" s="541">
        <f t="shared" si="68"/>
        <v>0</v>
      </c>
      <c r="N129" s="551">
        <f t="shared" si="68"/>
        <v>0</v>
      </c>
      <c r="O129" s="542">
        <f t="shared" si="68"/>
        <v>0</v>
      </c>
      <c r="P129" s="543">
        <f t="shared" si="68"/>
        <v>0</v>
      </c>
      <c r="Q129" s="544">
        <f t="shared" si="68"/>
        <v>0</v>
      </c>
      <c r="R129" s="541">
        <f t="shared" si="68"/>
        <v>0</v>
      </c>
      <c r="S129" s="576">
        <f t="shared" si="68"/>
        <v>-14123</v>
      </c>
      <c r="T129" s="577">
        <f t="shared" si="68"/>
        <v>-14123</v>
      </c>
      <c r="U129" s="573">
        <f t="shared" si="68"/>
        <v>-11948</v>
      </c>
      <c r="V129" s="574">
        <f t="shared" si="68"/>
        <v>-2175</v>
      </c>
      <c r="W129" s="574">
        <f t="shared" si="68"/>
        <v>0</v>
      </c>
      <c r="X129" s="574">
        <f t="shared" si="68"/>
        <v>0</v>
      </c>
      <c r="Y129" s="575">
        <f t="shared" si="68"/>
        <v>0</v>
      </c>
      <c r="Z129" s="541">
        <f t="shared" si="68"/>
        <v>0</v>
      </c>
      <c r="AA129" s="577">
        <f t="shared" si="68"/>
        <v>0</v>
      </c>
      <c r="AB129" s="573">
        <f t="shared" si="68"/>
        <v>0</v>
      </c>
      <c r="AC129" s="574">
        <f t="shared" si="68"/>
        <v>0</v>
      </c>
      <c r="AD129" s="575">
        <f t="shared" si="68"/>
        <v>0</v>
      </c>
      <c r="AE129" s="541">
        <f t="shared" si="68"/>
        <v>0</v>
      </c>
    </row>
    <row r="130" spans="1:32" s="521" customFormat="1" ht="12.75" thickBot="1">
      <c r="A130" s="586"/>
      <c r="B130" s="890"/>
      <c r="C130" s="365"/>
      <c r="D130" s="585"/>
      <c r="E130" s="1049"/>
      <c r="F130" s="537"/>
      <c r="G130" s="538"/>
      <c r="H130" s="422"/>
      <c r="I130" s="539"/>
      <c r="J130" s="377"/>
      <c r="K130" s="377"/>
      <c r="L130" s="1035"/>
      <c r="M130" s="538"/>
      <c r="N130" s="422"/>
      <c r="O130" s="539"/>
      <c r="P130" s="377"/>
      <c r="Q130" s="364"/>
      <c r="R130" s="538"/>
      <c r="S130" s="538"/>
      <c r="T130" s="422"/>
      <c r="U130" s="539"/>
      <c r="V130" s="377"/>
      <c r="W130" s="377"/>
      <c r="X130" s="377"/>
      <c r="Y130" s="364"/>
      <c r="Z130" s="538"/>
      <c r="AA130" s="422"/>
      <c r="AB130" s="539"/>
      <c r="AC130" s="377"/>
      <c r="AD130" s="364"/>
      <c r="AE130" s="538"/>
    </row>
    <row r="131" spans="1:32">
      <c r="A131" s="946">
        <f>+A127+1</f>
        <v>96</v>
      </c>
      <c r="B131" s="889">
        <v>18</v>
      </c>
      <c r="C131" s="371" t="s">
        <v>1093</v>
      </c>
      <c r="D131" s="1042" t="s">
        <v>1094</v>
      </c>
      <c r="E131" s="1043" t="s">
        <v>1265</v>
      </c>
      <c r="F131" s="1019" t="s">
        <v>1095</v>
      </c>
      <c r="G131" s="518">
        <f t="shared" ref="G131:G138" si="69">+H131+M131+N131+R131</f>
        <v>0</v>
      </c>
      <c r="H131" s="519">
        <f t="shared" ref="H131:H138" si="70">+I131+J131+K131+L131</f>
        <v>0</v>
      </c>
      <c r="I131" s="818"/>
      <c r="J131" s="819"/>
      <c r="K131" s="819"/>
      <c r="L131" s="1020"/>
      <c r="M131" s="518"/>
      <c r="N131" s="519">
        <f t="shared" ref="N131:N138" si="71">+O131+P131+Q131</f>
        <v>0</v>
      </c>
      <c r="O131" s="818"/>
      <c r="P131" s="819"/>
      <c r="Q131" s="820"/>
      <c r="R131" s="518"/>
      <c r="S131" s="530">
        <f t="shared" ref="S131:S138" si="72">+T131+Z131+AA131+AE131</f>
        <v>0</v>
      </c>
      <c r="T131" s="531">
        <f t="shared" ref="T131:T138" si="73">+U131+V131+W131+X131+Y131</f>
        <v>0</v>
      </c>
      <c r="U131" s="818"/>
      <c r="V131" s="819"/>
      <c r="W131" s="819"/>
      <c r="X131" s="819"/>
      <c r="Y131" s="820"/>
      <c r="Z131" s="518"/>
      <c r="AA131" s="531">
        <f t="shared" ref="AA131:AA138" si="74">+AB131+AC131+AD131</f>
        <v>0</v>
      </c>
      <c r="AB131" s="818"/>
      <c r="AC131" s="819"/>
      <c r="AD131" s="820"/>
      <c r="AE131" s="518"/>
    </row>
    <row r="132" spans="1:32" s="1087" customFormat="1">
      <c r="A132" s="1388" t="str">
        <f>+$E$202&amp;". "&amp;$F$202</f>
        <v>12. HVÓBKI kiadásainak felülvizsgálata</v>
      </c>
      <c r="B132" s="1389"/>
      <c r="C132" s="1389"/>
      <c r="D132" s="1389"/>
      <c r="E132" s="1389"/>
      <c r="F132" s="1390"/>
      <c r="G132" s="1080">
        <f>+H132+M132+N132+R132</f>
        <v>0</v>
      </c>
      <c r="H132" s="1081">
        <f>+I132+J132+K132+L132</f>
        <v>0</v>
      </c>
      <c r="I132" s="868"/>
      <c r="J132" s="869"/>
      <c r="K132" s="869"/>
      <c r="L132" s="1082"/>
      <c r="M132" s="1080"/>
      <c r="N132" s="1081">
        <f>+O132+P132+Q132</f>
        <v>0</v>
      </c>
      <c r="O132" s="868"/>
      <c r="P132" s="869"/>
      <c r="Q132" s="870"/>
      <c r="R132" s="1080"/>
      <c r="S132" s="1080">
        <f>+T132+Z132+AA132+AE132</f>
        <v>-4432</v>
      </c>
      <c r="T132" s="1081">
        <f>+U132+V132+W132+X132+Y132</f>
        <v>-3632</v>
      </c>
      <c r="U132" s="868">
        <f>-866-295-708</f>
        <v>-1869</v>
      </c>
      <c r="V132" s="1088">
        <f>-169-138</f>
        <v>-307</v>
      </c>
      <c r="W132" s="1088">
        <v>-1456</v>
      </c>
      <c r="X132" s="1088"/>
      <c r="Y132" s="1089"/>
      <c r="Z132" s="1080"/>
      <c r="AA132" s="1081">
        <f>+AB132+AC132+AD132</f>
        <v>-800</v>
      </c>
      <c r="AB132" s="1090">
        <v>-800</v>
      </c>
      <c r="AC132" s="1088"/>
      <c r="AD132" s="1089"/>
      <c r="AE132" s="1080"/>
      <c r="AF132" s="1086">
        <f>-G132+S132</f>
        <v>-4432</v>
      </c>
    </row>
    <row r="133" spans="1:32">
      <c r="A133" s="590">
        <f>+A131+1</f>
        <v>97</v>
      </c>
      <c r="B133" s="883">
        <v>19</v>
      </c>
      <c r="C133" s="366" t="s">
        <v>1096</v>
      </c>
      <c r="D133" s="1030" t="s">
        <v>1097</v>
      </c>
      <c r="E133" s="1031" t="s">
        <v>1279</v>
      </c>
      <c r="F133" s="1032" t="s">
        <v>1102</v>
      </c>
      <c r="G133" s="518">
        <f t="shared" si="69"/>
        <v>0</v>
      </c>
      <c r="H133" s="519">
        <f t="shared" si="70"/>
        <v>0</v>
      </c>
      <c r="I133" s="818"/>
      <c r="J133" s="819"/>
      <c r="K133" s="819"/>
      <c r="L133" s="1020"/>
      <c r="M133" s="518"/>
      <c r="N133" s="519">
        <f t="shared" si="71"/>
        <v>0</v>
      </c>
      <c r="O133" s="818"/>
      <c r="P133" s="819"/>
      <c r="Q133" s="820"/>
      <c r="R133" s="518"/>
      <c r="S133" s="530">
        <f t="shared" si="72"/>
        <v>0</v>
      </c>
      <c r="T133" s="531">
        <f t="shared" si="73"/>
        <v>0</v>
      </c>
      <c r="U133" s="818"/>
      <c r="V133" s="821"/>
      <c r="W133" s="821"/>
      <c r="X133" s="821"/>
      <c r="Y133" s="822"/>
      <c r="Z133" s="518"/>
      <c r="AA133" s="531">
        <f t="shared" si="74"/>
        <v>0</v>
      </c>
      <c r="AB133" s="825"/>
      <c r="AC133" s="821"/>
      <c r="AD133" s="822"/>
      <c r="AE133" s="518"/>
    </row>
    <row r="134" spans="1:32">
      <c r="A134" s="590">
        <f t="shared" ref="A134:A138" si="75">+A133+1</f>
        <v>98</v>
      </c>
      <c r="B134" s="883">
        <v>19</v>
      </c>
      <c r="C134" s="366" t="s">
        <v>1096</v>
      </c>
      <c r="D134" s="1030" t="s">
        <v>1097</v>
      </c>
      <c r="E134" s="1031" t="s">
        <v>1280</v>
      </c>
      <c r="F134" s="1032" t="s">
        <v>1103</v>
      </c>
      <c r="G134" s="518">
        <f t="shared" si="69"/>
        <v>0</v>
      </c>
      <c r="H134" s="519">
        <f t="shared" si="70"/>
        <v>0</v>
      </c>
      <c r="I134" s="818"/>
      <c r="J134" s="819"/>
      <c r="K134" s="819"/>
      <c r="L134" s="1020"/>
      <c r="M134" s="518"/>
      <c r="N134" s="519">
        <f t="shared" si="71"/>
        <v>0</v>
      </c>
      <c r="O134" s="818"/>
      <c r="P134" s="819"/>
      <c r="Q134" s="820"/>
      <c r="R134" s="518"/>
      <c r="S134" s="530">
        <f t="shared" si="72"/>
        <v>0</v>
      </c>
      <c r="T134" s="531">
        <f t="shared" si="73"/>
        <v>0</v>
      </c>
      <c r="U134" s="818"/>
      <c r="V134" s="821"/>
      <c r="W134" s="821"/>
      <c r="X134" s="821"/>
      <c r="Y134" s="822"/>
      <c r="Z134" s="518"/>
      <c r="AA134" s="531">
        <f t="shared" si="74"/>
        <v>0</v>
      </c>
      <c r="AB134" s="825"/>
      <c r="AC134" s="821"/>
      <c r="AD134" s="822"/>
      <c r="AE134" s="518"/>
    </row>
    <row r="135" spans="1:32">
      <c r="A135" s="590">
        <f t="shared" si="75"/>
        <v>99</v>
      </c>
      <c r="B135" s="884">
        <v>20</v>
      </c>
      <c r="C135" s="369" t="s">
        <v>1098</v>
      </c>
      <c r="D135" s="1022" t="s">
        <v>1197</v>
      </c>
      <c r="E135" s="1025" t="s">
        <v>1281</v>
      </c>
      <c r="F135" s="1027" t="s">
        <v>581</v>
      </c>
      <c r="G135" s="518">
        <f t="shared" si="69"/>
        <v>0</v>
      </c>
      <c r="H135" s="519">
        <f t="shared" si="70"/>
        <v>0</v>
      </c>
      <c r="I135" s="818"/>
      <c r="J135" s="819"/>
      <c r="K135" s="819"/>
      <c r="L135" s="1020"/>
      <c r="M135" s="518"/>
      <c r="N135" s="519">
        <f t="shared" si="71"/>
        <v>0</v>
      </c>
      <c r="O135" s="818"/>
      <c r="P135" s="819"/>
      <c r="Q135" s="820"/>
      <c r="R135" s="518"/>
      <c r="S135" s="530">
        <f t="shared" si="72"/>
        <v>0</v>
      </c>
      <c r="T135" s="531">
        <f t="shared" si="73"/>
        <v>0</v>
      </c>
      <c r="U135" s="818"/>
      <c r="V135" s="821"/>
      <c r="W135" s="821"/>
      <c r="X135" s="821"/>
      <c r="Y135" s="822"/>
      <c r="Z135" s="518"/>
      <c r="AA135" s="531">
        <f t="shared" si="74"/>
        <v>0</v>
      </c>
      <c r="AB135" s="825"/>
      <c r="AC135" s="821"/>
      <c r="AD135" s="822"/>
      <c r="AE135" s="518"/>
    </row>
    <row r="136" spans="1:32" s="1087" customFormat="1">
      <c r="A136" s="1388" t="str">
        <f>+$E$202&amp;". "&amp;$F$202</f>
        <v>12. HVÓBKI kiadásainak felülvizsgálata</v>
      </c>
      <c r="B136" s="1389"/>
      <c r="C136" s="1389"/>
      <c r="D136" s="1389"/>
      <c r="E136" s="1389"/>
      <c r="F136" s="1390"/>
      <c r="G136" s="1080">
        <f>+H136+M136+N136+R136</f>
        <v>0</v>
      </c>
      <c r="H136" s="1081">
        <f>+I136+J136+K136+L136</f>
        <v>0</v>
      </c>
      <c r="I136" s="868"/>
      <c r="J136" s="869"/>
      <c r="K136" s="869"/>
      <c r="L136" s="1082"/>
      <c r="M136" s="1080"/>
      <c r="N136" s="1081">
        <f>+O136+P136+Q136</f>
        <v>0</v>
      </c>
      <c r="O136" s="868"/>
      <c r="P136" s="869"/>
      <c r="Q136" s="870"/>
      <c r="R136" s="1080"/>
      <c r="S136" s="1080">
        <f>+T136+Z136+AA136+AE136</f>
        <v>-193</v>
      </c>
      <c r="T136" s="1081">
        <f>+U136+V136+W136+X136+Y136</f>
        <v>-193</v>
      </c>
      <c r="U136" s="868">
        <f>-50-120</f>
        <v>-170</v>
      </c>
      <c r="V136" s="1088">
        <v>-23</v>
      </c>
      <c r="W136" s="1088"/>
      <c r="X136" s="1088"/>
      <c r="Y136" s="1089"/>
      <c r="Z136" s="1080"/>
      <c r="AA136" s="1081">
        <f>+AB136+AC136+AD136</f>
        <v>0</v>
      </c>
      <c r="AB136" s="1090"/>
      <c r="AC136" s="1088"/>
      <c r="AD136" s="1089"/>
      <c r="AE136" s="1080"/>
      <c r="AF136" s="1086">
        <f>-G136+S136</f>
        <v>-193</v>
      </c>
    </row>
    <row r="137" spans="1:32">
      <c r="A137" s="590">
        <f>+A135+1</f>
        <v>100</v>
      </c>
      <c r="B137" s="883">
        <v>19</v>
      </c>
      <c r="C137" s="366" t="s">
        <v>1099</v>
      </c>
      <c r="D137" s="1030" t="s">
        <v>1100</v>
      </c>
      <c r="E137" s="1031" t="s">
        <v>1282</v>
      </c>
      <c r="F137" s="1032" t="s">
        <v>1101</v>
      </c>
      <c r="G137" s="518">
        <f>+H137+M137+N137+R137</f>
        <v>0</v>
      </c>
      <c r="H137" s="519">
        <f>+I137+J137+K137+L137</f>
        <v>0</v>
      </c>
      <c r="I137" s="818"/>
      <c r="J137" s="819"/>
      <c r="K137" s="819"/>
      <c r="L137" s="1020"/>
      <c r="M137" s="518"/>
      <c r="N137" s="519">
        <f>+O137+P137+Q137</f>
        <v>0</v>
      </c>
      <c r="O137" s="818"/>
      <c r="P137" s="819"/>
      <c r="Q137" s="820"/>
      <c r="R137" s="518"/>
      <c r="S137" s="530">
        <f>+T137+Z137+AA137+AE137</f>
        <v>0</v>
      </c>
      <c r="T137" s="531">
        <f>+U137+V137+W137+X137+Y137</f>
        <v>0</v>
      </c>
      <c r="U137" s="818"/>
      <c r="V137" s="821"/>
      <c r="W137" s="821"/>
      <c r="X137" s="821"/>
      <c r="Y137" s="822"/>
      <c r="Z137" s="518"/>
      <c r="AA137" s="531">
        <f>+AB137+AC137+AD137</f>
        <v>0</v>
      </c>
      <c r="AB137" s="825"/>
      <c r="AC137" s="821"/>
      <c r="AD137" s="822"/>
      <c r="AE137" s="518"/>
    </row>
    <row r="138" spans="1:32" ht="12.75" thickBot="1">
      <c r="A138" s="590">
        <f t="shared" si="75"/>
        <v>101</v>
      </c>
      <c r="B138" s="883">
        <v>19</v>
      </c>
      <c r="C138" s="366" t="s">
        <v>1017</v>
      </c>
      <c r="D138" s="1030" t="s">
        <v>1018</v>
      </c>
      <c r="E138" s="1031" t="s">
        <v>1265</v>
      </c>
      <c r="F138" s="1032" t="s">
        <v>1095</v>
      </c>
      <c r="G138" s="518">
        <f t="shared" si="69"/>
        <v>0</v>
      </c>
      <c r="H138" s="519">
        <f t="shared" si="70"/>
        <v>0</v>
      </c>
      <c r="I138" s="818"/>
      <c r="J138" s="819"/>
      <c r="K138" s="819"/>
      <c r="L138" s="1020"/>
      <c r="M138" s="518"/>
      <c r="N138" s="519">
        <f t="shared" si="71"/>
        <v>0</v>
      </c>
      <c r="O138" s="818"/>
      <c r="P138" s="819"/>
      <c r="Q138" s="820"/>
      <c r="R138" s="518"/>
      <c r="S138" s="530">
        <f t="shared" si="72"/>
        <v>0</v>
      </c>
      <c r="T138" s="531">
        <f t="shared" si="73"/>
        <v>0</v>
      </c>
      <c r="U138" s="818"/>
      <c r="V138" s="821"/>
      <c r="W138" s="821"/>
      <c r="X138" s="821"/>
      <c r="Y138" s="822"/>
      <c r="Z138" s="518"/>
      <c r="AA138" s="531">
        <f t="shared" si="74"/>
        <v>0</v>
      </c>
      <c r="AB138" s="825"/>
      <c r="AC138" s="821"/>
      <c r="AD138" s="822"/>
      <c r="AE138" s="518"/>
    </row>
    <row r="139" spans="1:32" s="521" customFormat="1" ht="12.75" thickBot="1">
      <c r="A139" s="586" t="s">
        <v>756</v>
      </c>
      <c r="B139" s="886"/>
      <c r="C139" s="1385" t="s">
        <v>418</v>
      </c>
      <c r="D139" s="1386"/>
      <c r="E139" s="1386"/>
      <c r="F139" s="1387"/>
      <c r="G139" s="538">
        <f t="shared" ref="G139:AE139" si="76">SUM(G131:G138)</f>
        <v>0</v>
      </c>
      <c r="H139" s="422">
        <f t="shared" si="76"/>
        <v>0</v>
      </c>
      <c r="I139" s="539">
        <f t="shared" si="76"/>
        <v>0</v>
      </c>
      <c r="J139" s="377">
        <f t="shared" si="76"/>
        <v>0</v>
      </c>
      <c r="K139" s="377">
        <f t="shared" si="76"/>
        <v>0</v>
      </c>
      <c r="L139" s="1035">
        <f t="shared" si="76"/>
        <v>0</v>
      </c>
      <c r="M139" s="538">
        <f t="shared" si="76"/>
        <v>0</v>
      </c>
      <c r="N139" s="538">
        <f t="shared" si="76"/>
        <v>0</v>
      </c>
      <c r="O139" s="539">
        <f t="shared" si="76"/>
        <v>0</v>
      </c>
      <c r="P139" s="377">
        <f t="shared" si="76"/>
        <v>0</v>
      </c>
      <c r="Q139" s="364">
        <f t="shared" si="76"/>
        <v>0</v>
      </c>
      <c r="R139" s="538">
        <f t="shared" si="76"/>
        <v>0</v>
      </c>
      <c r="S139" s="538">
        <f t="shared" si="76"/>
        <v>-4625</v>
      </c>
      <c r="T139" s="422">
        <f t="shared" si="76"/>
        <v>-3825</v>
      </c>
      <c r="U139" s="539">
        <f t="shared" si="76"/>
        <v>-2039</v>
      </c>
      <c r="V139" s="377">
        <f t="shared" si="76"/>
        <v>-330</v>
      </c>
      <c r="W139" s="377">
        <f t="shared" si="76"/>
        <v>-1456</v>
      </c>
      <c r="X139" s="377">
        <f t="shared" si="76"/>
        <v>0</v>
      </c>
      <c r="Y139" s="364">
        <f t="shared" si="76"/>
        <v>0</v>
      </c>
      <c r="Z139" s="538">
        <f t="shared" si="76"/>
        <v>0</v>
      </c>
      <c r="AA139" s="422">
        <f t="shared" si="76"/>
        <v>-800</v>
      </c>
      <c r="AB139" s="539">
        <f t="shared" si="76"/>
        <v>-800</v>
      </c>
      <c r="AC139" s="377">
        <f t="shared" si="76"/>
        <v>0</v>
      </c>
      <c r="AD139" s="364">
        <f t="shared" si="76"/>
        <v>0</v>
      </c>
      <c r="AE139" s="538">
        <f t="shared" si="76"/>
        <v>0</v>
      </c>
    </row>
    <row r="140" spans="1:32" s="525" customFormat="1" ht="12.75" customHeight="1" thickBot="1">
      <c r="A140" s="592">
        <f>+A138+1</f>
        <v>102</v>
      </c>
      <c r="B140" s="891">
        <v>21</v>
      </c>
      <c r="C140" s="451" t="s">
        <v>19</v>
      </c>
      <c r="D140" s="583" t="s">
        <v>19</v>
      </c>
      <c r="E140" s="1050" t="s">
        <v>19</v>
      </c>
      <c r="F140" s="1051" t="s">
        <v>19</v>
      </c>
      <c r="G140" s="562">
        <f>+H140+M140+N140+R140</f>
        <v>0</v>
      </c>
      <c r="H140" s="430">
        <f>+I140+J140+K140+L140</f>
        <v>0</v>
      </c>
      <c r="I140" s="836"/>
      <c r="J140" s="833"/>
      <c r="K140" s="833"/>
      <c r="L140" s="1052"/>
      <c r="M140" s="562"/>
      <c r="N140" s="430">
        <f>+O140+P140+Q140</f>
        <v>0</v>
      </c>
      <c r="O140" s="836"/>
      <c r="P140" s="833"/>
      <c r="Q140" s="834"/>
      <c r="R140" s="562"/>
      <c r="S140" s="562">
        <f>+T140+Z140+AA140+AE140</f>
        <v>0</v>
      </c>
      <c r="T140" s="430">
        <f>+U140+V140+W140+X140+Y140</f>
        <v>0</v>
      </c>
      <c r="U140" s="836"/>
      <c r="V140" s="833"/>
      <c r="W140" s="833"/>
      <c r="X140" s="833"/>
      <c r="Y140" s="834"/>
      <c r="Z140" s="562"/>
      <c r="AA140" s="430">
        <f>+AB140+AC140+AD140</f>
        <v>0</v>
      </c>
      <c r="AB140" s="836"/>
      <c r="AC140" s="833"/>
      <c r="AD140" s="834"/>
      <c r="AE140" s="562"/>
    </row>
    <row r="141" spans="1:32" s="521" customFormat="1" ht="12.75" thickBot="1">
      <c r="A141" s="917" t="s">
        <v>757</v>
      </c>
      <c r="B141" s="886"/>
      <c r="C141" s="1385" t="s">
        <v>419</v>
      </c>
      <c r="D141" s="1386"/>
      <c r="E141" s="1386"/>
      <c r="F141" s="1387"/>
      <c r="G141" s="538">
        <f>SUM(G140)</f>
        <v>0</v>
      </c>
      <c r="H141" s="538">
        <f t="shared" ref="H141:R141" si="77">SUM(H140)</f>
        <v>0</v>
      </c>
      <c r="I141" s="539">
        <f t="shared" si="77"/>
        <v>0</v>
      </c>
      <c r="J141" s="377">
        <f t="shared" si="77"/>
        <v>0</v>
      </c>
      <c r="K141" s="377">
        <f t="shared" si="77"/>
        <v>0</v>
      </c>
      <c r="L141" s="1035">
        <f t="shared" si="77"/>
        <v>0</v>
      </c>
      <c r="M141" s="538">
        <f>SUM(M140)</f>
        <v>0</v>
      </c>
      <c r="N141" s="538">
        <f t="shared" si="77"/>
        <v>0</v>
      </c>
      <c r="O141" s="539">
        <f t="shared" si="77"/>
        <v>0</v>
      </c>
      <c r="P141" s="377">
        <f t="shared" si="77"/>
        <v>0</v>
      </c>
      <c r="Q141" s="364">
        <f t="shared" si="77"/>
        <v>0</v>
      </c>
      <c r="R141" s="538">
        <f t="shared" si="77"/>
        <v>0</v>
      </c>
      <c r="S141" s="538">
        <f>SUM(S140)</f>
        <v>0</v>
      </c>
      <c r="T141" s="538">
        <f t="shared" ref="T141:AD141" si="78">SUM(T140)</f>
        <v>0</v>
      </c>
      <c r="U141" s="539">
        <f t="shared" si="78"/>
        <v>0</v>
      </c>
      <c r="V141" s="377">
        <f t="shared" si="78"/>
        <v>0</v>
      </c>
      <c r="W141" s="377">
        <f t="shared" si="78"/>
        <v>0</v>
      </c>
      <c r="X141" s="377">
        <f t="shared" si="78"/>
        <v>0</v>
      </c>
      <c r="Y141" s="364">
        <f t="shared" si="78"/>
        <v>0</v>
      </c>
      <c r="Z141" s="538">
        <f t="shared" si="78"/>
        <v>0</v>
      </c>
      <c r="AA141" s="422">
        <f t="shared" si="78"/>
        <v>0</v>
      </c>
      <c r="AB141" s="539">
        <f t="shared" si="78"/>
        <v>0</v>
      </c>
      <c r="AC141" s="377">
        <f t="shared" si="78"/>
        <v>0</v>
      </c>
      <c r="AD141" s="364">
        <f t="shared" si="78"/>
        <v>0</v>
      </c>
      <c r="AE141" s="538">
        <f>SUM(AE140)</f>
        <v>0</v>
      </c>
    </row>
    <row r="142" spans="1:32" s="525" customFormat="1" ht="12.75" customHeight="1" thickBot="1">
      <c r="A142" s="592">
        <f>+A140+1</f>
        <v>103</v>
      </c>
      <c r="B142" s="891">
        <v>22</v>
      </c>
      <c r="C142" s="366" t="s">
        <v>19</v>
      </c>
      <c r="D142" s="1030" t="s">
        <v>19</v>
      </c>
      <c r="E142" s="1031" t="s">
        <v>19</v>
      </c>
      <c r="F142" s="1032" t="s">
        <v>19</v>
      </c>
      <c r="G142" s="562">
        <f>+H142+M142+N142+R142</f>
        <v>0</v>
      </c>
      <c r="H142" s="430">
        <f>+I142+J142+K142+L142</f>
        <v>0</v>
      </c>
      <c r="I142" s="836"/>
      <c r="J142" s="833"/>
      <c r="K142" s="833"/>
      <c r="L142" s="1052"/>
      <c r="M142" s="562"/>
      <c r="N142" s="430">
        <f>+O142+P142+Q142</f>
        <v>0</v>
      </c>
      <c r="O142" s="836"/>
      <c r="P142" s="833"/>
      <c r="Q142" s="834"/>
      <c r="R142" s="562"/>
      <c r="S142" s="562">
        <f>+T142+Z142+AA142+AE142</f>
        <v>0</v>
      </c>
      <c r="T142" s="430">
        <f>+U142+V142+W142+X142+Y142</f>
        <v>0</v>
      </c>
      <c r="U142" s="836"/>
      <c r="V142" s="833"/>
      <c r="W142" s="833"/>
      <c r="X142" s="833"/>
      <c r="Y142" s="834"/>
      <c r="Z142" s="562"/>
      <c r="AA142" s="430">
        <f>+AB142+AC142+AD142</f>
        <v>0</v>
      </c>
      <c r="AB142" s="836"/>
      <c r="AC142" s="833"/>
      <c r="AD142" s="834"/>
      <c r="AE142" s="562"/>
    </row>
    <row r="143" spans="1:32" s="521" customFormat="1" ht="12.75" thickBot="1">
      <c r="A143" s="586" t="s">
        <v>758</v>
      </c>
      <c r="B143" s="886"/>
      <c r="C143" s="1385" t="s">
        <v>775</v>
      </c>
      <c r="D143" s="1386"/>
      <c r="E143" s="1386"/>
      <c r="F143" s="1387"/>
      <c r="G143" s="538">
        <f>SUM(G142)</f>
        <v>0</v>
      </c>
      <c r="H143" s="422">
        <f t="shared" ref="H143:R143" si="79">SUM(H142)</f>
        <v>0</v>
      </c>
      <c r="I143" s="539">
        <f t="shared" si="79"/>
        <v>0</v>
      </c>
      <c r="J143" s="377">
        <f t="shared" si="79"/>
        <v>0</v>
      </c>
      <c r="K143" s="377">
        <f t="shared" si="79"/>
        <v>0</v>
      </c>
      <c r="L143" s="1035">
        <f t="shared" si="79"/>
        <v>0</v>
      </c>
      <c r="M143" s="538">
        <f>SUM(M142)</f>
        <v>0</v>
      </c>
      <c r="N143" s="422">
        <f t="shared" si="79"/>
        <v>0</v>
      </c>
      <c r="O143" s="539">
        <f t="shared" si="79"/>
        <v>0</v>
      </c>
      <c r="P143" s="377">
        <f t="shared" si="79"/>
        <v>0</v>
      </c>
      <c r="Q143" s="364">
        <f t="shared" si="79"/>
        <v>0</v>
      </c>
      <c r="R143" s="538">
        <f t="shared" si="79"/>
        <v>0</v>
      </c>
      <c r="S143" s="538">
        <f>SUM(S142)</f>
        <v>0</v>
      </c>
      <c r="T143" s="422">
        <f t="shared" ref="T143:AD143" si="80">SUM(T142)</f>
        <v>0</v>
      </c>
      <c r="U143" s="539">
        <f t="shared" si="80"/>
        <v>0</v>
      </c>
      <c r="V143" s="377">
        <f t="shared" si="80"/>
        <v>0</v>
      </c>
      <c r="W143" s="377">
        <f t="shared" si="80"/>
        <v>0</v>
      </c>
      <c r="X143" s="377">
        <f t="shared" si="80"/>
        <v>0</v>
      </c>
      <c r="Y143" s="364">
        <f t="shared" si="80"/>
        <v>0</v>
      </c>
      <c r="Z143" s="538">
        <f t="shared" si="80"/>
        <v>0</v>
      </c>
      <c r="AA143" s="422">
        <f t="shared" si="80"/>
        <v>0</v>
      </c>
      <c r="AB143" s="539">
        <f t="shared" si="80"/>
        <v>0</v>
      </c>
      <c r="AC143" s="377">
        <f t="shared" si="80"/>
        <v>0</v>
      </c>
      <c r="AD143" s="364">
        <f t="shared" si="80"/>
        <v>0</v>
      </c>
      <c r="AE143" s="538">
        <f>SUM(AE142)</f>
        <v>0</v>
      </c>
    </row>
    <row r="144" spans="1:32" s="521" customFormat="1" ht="12.75" thickBot="1">
      <c r="A144" s="587" t="s">
        <v>21</v>
      </c>
      <c r="B144" s="887"/>
      <c r="C144" s="1379" t="s">
        <v>420</v>
      </c>
      <c r="D144" s="1380"/>
      <c r="E144" s="1380"/>
      <c r="F144" s="1381"/>
      <c r="G144" s="541">
        <f>+G139+G141+G143</f>
        <v>0</v>
      </c>
      <c r="H144" s="544">
        <f t="shared" ref="H144:R144" si="81">+H139+H141+H143</f>
        <v>0</v>
      </c>
      <c r="I144" s="558">
        <f t="shared" si="81"/>
        <v>0</v>
      </c>
      <c r="J144" s="559">
        <f t="shared" si="81"/>
        <v>0</v>
      </c>
      <c r="K144" s="559">
        <f t="shared" si="81"/>
        <v>0</v>
      </c>
      <c r="L144" s="1053">
        <f t="shared" si="81"/>
        <v>0</v>
      </c>
      <c r="M144" s="541">
        <f>+M139+M141+M143</f>
        <v>0</v>
      </c>
      <c r="N144" s="544">
        <f t="shared" si="81"/>
        <v>0</v>
      </c>
      <c r="O144" s="558">
        <f t="shared" si="81"/>
        <v>0</v>
      </c>
      <c r="P144" s="559">
        <f t="shared" si="81"/>
        <v>0</v>
      </c>
      <c r="Q144" s="560">
        <f t="shared" si="81"/>
        <v>0</v>
      </c>
      <c r="R144" s="541">
        <f t="shared" si="81"/>
        <v>0</v>
      </c>
      <c r="S144" s="541">
        <f>+S139+S141+S143</f>
        <v>-4625</v>
      </c>
      <c r="T144" s="579">
        <f t="shared" ref="T144:AD144" si="82">+T139+T141+T143</f>
        <v>-3825</v>
      </c>
      <c r="U144" s="542">
        <f t="shared" si="82"/>
        <v>-2039</v>
      </c>
      <c r="V144" s="543">
        <f t="shared" si="82"/>
        <v>-330</v>
      </c>
      <c r="W144" s="543">
        <f t="shared" si="82"/>
        <v>-1456</v>
      </c>
      <c r="X144" s="543">
        <f t="shared" si="82"/>
        <v>0</v>
      </c>
      <c r="Y144" s="544">
        <f t="shared" si="82"/>
        <v>0</v>
      </c>
      <c r="Z144" s="541">
        <f t="shared" si="82"/>
        <v>0</v>
      </c>
      <c r="AA144" s="580">
        <f t="shared" si="82"/>
        <v>-800</v>
      </c>
      <c r="AB144" s="542">
        <f t="shared" si="82"/>
        <v>-800</v>
      </c>
      <c r="AC144" s="543">
        <f t="shared" si="82"/>
        <v>0</v>
      </c>
      <c r="AD144" s="544">
        <f t="shared" si="82"/>
        <v>0</v>
      </c>
      <c r="AE144" s="541">
        <f>+AE139+AE141+AE143</f>
        <v>0</v>
      </c>
    </row>
    <row r="145" spans="1:32" s="521" customFormat="1" ht="12.75" thickBot="1">
      <c r="A145" s="586"/>
      <c r="B145" s="890"/>
      <c r="C145" s="365"/>
      <c r="D145" s="585"/>
      <c r="E145" s="1049"/>
      <c r="F145" s="537"/>
      <c r="G145" s="538"/>
      <c r="H145" s="422"/>
      <c r="I145" s="539"/>
      <c r="J145" s="377"/>
      <c r="K145" s="377"/>
      <c r="L145" s="1035"/>
      <c r="M145" s="538"/>
      <c r="N145" s="422"/>
      <c r="O145" s="539"/>
      <c r="P145" s="377"/>
      <c r="Q145" s="364"/>
      <c r="R145" s="538"/>
      <c r="S145" s="538"/>
      <c r="T145" s="422"/>
      <c r="U145" s="554"/>
      <c r="V145" s="555"/>
      <c r="W145" s="555"/>
      <c r="X145" s="555"/>
      <c r="Y145" s="556"/>
      <c r="Z145" s="538"/>
      <c r="AA145" s="422"/>
      <c r="AB145" s="554"/>
      <c r="AC145" s="555"/>
      <c r="AD145" s="556"/>
      <c r="AE145" s="538"/>
    </row>
    <row r="146" spans="1:32">
      <c r="A146" s="590">
        <f>+A142+1</f>
        <v>104</v>
      </c>
      <c r="B146" s="883">
        <v>23</v>
      </c>
      <c r="C146" s="366" t="s">
        <v>1104</v>
      </c>
      <c r="D146" s="1030" t="s">
        <v>1105</v>
      </c>
      <c r="E146" s="1031" t="s">
        <v>1265</v>
      </c>
      <c r="F146" s="1032" t="s">
        <v>1105</v>
      </c>
      <c r="G146" s="518">
        <f t="shared" ref="G146:G153" si="83">+H146+M146+N146+R146</f>
        <v>0</v>
      </c>
      <c r="H146" s="519">
        <f t="shared" ref="H146:H153" si="84">+I146+J146+K146+L146</f>
        <v>0</v>
      </c>
      <c r="I146" s="818"/>
      <c r="J146" s="819"/>
      <c r="K146" s="819"/>
      <c r="L146" s="1020"/>
      <c r="M146" s="518"/>
      <c r="N146" s="519">
        <f t="shared" ref="N146:N153" si="85">+O146+P146+Q146</f>
        <v>0</v>
      </c>
      <c r="O146" s="818"/>
      <c r="P146" s="819"/>
      <c r="Q146" s="820"/>
      <c r="R146" s="518"/>
      <c r="S146" s="530">
        <f t="shared" ref="S146:S153" si="86">+T146+Z146+AA146+AE146</f>
        <v>0</v>
      </c>
      <c r="T146" s="531">
        <f t="shared" ref="T146:T153" si="87">+U146+V146+W146+X146+Y146</f>
        <v>0</v>
      </c>
      <c r="U146" s="818"/>
      <c r="V146" s="819"/>
      <c r="W146" s="819"/>
      <c r="X146" s="819"/>
      <c r="Y146" s="820"/>
      <c r="Z146" s="518"/>
      <c r="AA146" s="531">
        <f t="shared" ref="AA146:AA153" si="88">+AB146+AC146+AD146</f>
        <v>0</v>
      </c>
      <c r="AB146" s="818"/>
      <c r="AC146" s="819"/>
      <c r="AD146" s="820"/>
      <c r="AE146" s="518"/>
    </row>
    <row r="147" spans="1:32">
      <c r="A147" s="590">
        <f>+A146+1</f>
        <v>105</v>
      </c>
      <c r="B147" s="883">
        <v>24</v>
      </c>
      <c r="C147" s="369" t="s">
        <v>1107</v>
      </c>
      <c r="D147" s="1022" t="s">
        <v>1106</v>
      </c>
      <c r="E147" s="1025" t="s">
        <v>1265</v>
      </c>
      <c r="F147" s="1027" t="s">
        <v>1106</v>
      </c>
      <c r="G147" s="518">
        <f t="shared" si="83"/>
        <v>0</v>
      </c>
      <c r="H147" s="519">
        <f t="shared" si="84"/>
        <v>0</v>
      </c>
      <c r="I147" s="818"/>
      <c r="J147" s="819"/>
      <c r="K147" s="819"/>
      <c r="L147" s="1020"/>
      <c r="M147" s="518"/>
      <c r="N147" s="519">
        <f t="shared" si="85"/>
        <v>0</v>
      </c>
      <c r="O147" s="818"/>
      <c r="P147" s="819"/>
      <c r="Q147" s="820"/>
      <c r="R147" s="518"/>
      <c r="S147" s="530">
        <f t="shared" si="86"/>
        <v>0</v>
      </c>
      <c r="T147" s="531">
        <f t="shared" si="87"/>
        <v>0</v>
      </c>
      <c r="U147" s="818"/>
      <c r="V147" s="821"/>
      <c r="W147" s="821"/>
      <c r="X147" s="821"/>
      <c r="Y147" s="822"/>
      <c r="Z147" s="518"/>
      <c r="AA147" s="531">
        <f t="shared" si="88"/>
        <v>0</v>
      </c>
      <c r="AB147" s="825"/>
      <c r="AC147" s="821"/>
      <c r="AD147" s="822"/>
      <c r="AE147" s="518"/>
    </row>
    <row r="148" spans="1:32" s="1087" customFormat="1">
      <c r="A148" s="1388" t="str">
        <f>+$E$203&amp;". "&amp;$F$203</f>
        <v>13. HKK kiadásainak felülvizsgálata</v>
      </c>
      <c r="B148" s="1389"/>
      <c r="C148" s="1389"/>
      <c r="D148" s="1389"/>
      <c r="E148" s="1389"/>
      <c r="F148" s="1390"/>
      <c r="G148" s="1080">
        <f t="shared" si="83"/>
        <v>0</v>
      </c>
      <c r="H148" s="1081">
        <f t="shared" si="84"/>
        <v>0</v>
      </c>
      <c r="I148" s="868"/>
      <c r="J148" s="869"/>
      <c r="K148" s="869"/>
      <c r="L148" s="1082"/>
      <c r="M148" s="1080"/>
      <c r="N148" s="1081">
        <f t="shared" si="85"/>
        <v>0</v>
      </c>
      <c r="O148" s="868"/>
      <c r="P148" s="869"/>
      <c r="Q148" s="870"/>
      <c r="R148" s="1080"/>
      <c r="S148" s="1080">
        <f t="shared" si="86"/>
        <v>-3276</v>
      </c>
      <c r="T148" s="1081">
        <f t="shared" si="87"/>
        <v>-196</v>
      </c>
      <c r="U148" s="868">
        <v>-164</v>
      </c>
      <c r="V148" s="1088">
        <v>-32</v>
      </c>
      <c r="W148" s="1088"/>
      <c r="X148" s="1088"/>
      <c r="Y148" s="1089"/>
      <c r="Z148" s="1080"/>
      <c r="AA148" s="1081">
        <f t="shared" si="88"/>
        <v>-3080</v>
      </c>
      <c r="AB148" s="1090">
        <v>-3080</v>
      </c>
      <c r="AC148" s="1088"/>
      <c r="AD148" s="1089"/>
      <c r="AE148" s="1080"/>
      <c r="AF148" s="1086">
        <f>-G148+S148</f>
        <v>-3276</v>
      </c>
    </row>
    <row r="149" spans="1:32">
      <c r="A149" s="590">
        <f>+A147+1</f>
        <v>106</v>
      </c>
      <c r="B149" s="884">
        <v>25</v>
      </c>
      <c r="C149" s="369" t="s">
        <v>1109</v>
      </c>
      <c r="D149" s="1022" t="s">
        <v>1108</v>
      </c>
      <c r="E149" s="1025" t="s">
        <v>1283</v>
      </c>
      <c r="F149" s="1027" t="s">
        <v>1112</v>
      </c>
      <c r="G149" s="518">
        <f t="shared" si="83"/>
        <v>0</v>
      </c>
      <c r="H149" s="519">
        <f t="shared" si="84"/>
        <v>0</v>
      </c>
      <c r="I149" s="818"/>
      <c r="J149" s="819"/>
      <c r="K149" s="819"/>
      <c r="L149" s="1020"/>
      <c r="M149" s="518"/>
      <c r="N149" s="519">
        <f t="shared" si="85"/>
        <v>0</v>
      </c>
      <c r="O149" s="818"/>
      <c r="P149" s="819"/>
      <c r="Q149" s="820"/>
      <c r="R149" s="518"/>
      <c r="S149" s="530">
        <f t="shared" si="86"/>
        <v>0</v>
      </c>
      <c r="T149" s="531">
        <f t="shared" si="87"/>
        <v>0</v>
      </c>
      <c r="U149" s="818"/>
      <c r="V149" s="821"/>
      <c r="W149" s="821"/>
      <c r="X149" s="821"/>
      <c r="Y149" s="822"/>
      <c r="Z149" s="518"/>
      <c r="AA149" s="531">
        <f t="shared" si="88"/>
        <v>0</v>
      </c>
      <c r="AB149" s="825"/>
      <c r="AC149" s="821"/>
      <c r="AD149" s="822"/>
      <c r="AE149" s="518"/>
    </row>
    <row r="150" spans="1:32" s="1087" customFormat="1">
      <c r="A150" s="1388" t="str">
        <f>+$E$203&amp;". "&amp;$F$203</f>
        <v>13. HKK kiadásainak felülvizsgálata</v>
      </c>
      <c r="B150" s="1389"/>
      <c r="C150" s="1389"/>
      <c r="D150" s="1389"/>
      <c r="E150" s="1389"/>
      <c r="F150" s="1390"/>
      <c r="G150" s="1080">
        <f t="shared" ref="G150" si="89">+H150+M150+N150+R150</f>
        <v>0</v>
      </c>
      <c r="H150" s="1081">
        <f t="shared" ref="H150" si="90">+I150+J150+K150+L150</f>
        <v>0</v>
      </c>
      <c r="I150" s="868"/>
      <c r="J150" s="869"/>
      <c r="K150" s="869"/>
      <c r="L150" s="1082"/>
      <c r="M150" s="1080"/>
      <c r="N150" s="1081">
        <f t="shared" ref="N150" si="91">+O150+P150+Q150</f>
        <v>0</v>
      </c>
      <c r="O150" s="868"/>
      <c r="P150" s="869"/>
      <c r="Q150" s="870"/>
      <c r="R150" s="1080"/>
      <c r="S150" s="1080">
        <f t="shared" ref="S150" si="92">+T150+Z150+AA150+AE150</f>
        <v>-1089</v>
      </c>
      <c r="T150" s="1081">
        <f t="shared" ref="T150" si="93">+U150+V150+W150+X150+Y150</f>
        <v>-73</v>
      </c>
      <c r="U150" s="868">
        <v>-61</v>
      </c>
      <c r="V150" s="1088">
        <v>-12</v>
      </c>
      <c r="W150" s="1088"/>
      <c r="X150" s="1088"/>
      <c r="Y150" s="1089"/>
      <c r="Z150" s="1080"/>
      <c r="AA150" s="1081">
        <f t="shared" ref="AA150" si="94">+AB150+AC150+AD150</f>
        <v>-1016</v>
      </c>
      <c r="AB150" s="1090">
        <v>-1016</v>
      </c>
      <c r="AC150" s="1088"/>
      <c r="AD150" s="1089"/>
      <c r="AE150" s="1080"/>
      <c r="AF150" s="1086">
        <f>-G150+S150</f>
        <v>-1089</v>
      </c>
    </row>
    <row r="151" spans="1:32">
      <c r="A151" s="590">
        <f>+A149+1</f>
        <v>107</v>
      </c>
      <c r="B151" s="884">
        <v>24</v>
      </c>
      <c r="C151" s="369" t="s">
        <v>1110</v>
      </c>
      <c r="D151" s="1022" t="s">
        <v>1111</v>
      </c>
      <c r="E151" s="1025" t="s">
        <v>1284</v>
      </c>
      <c r="F151" s="1027" t="s">
        <v>1113</v>
      </c>
      <c r="G151" s="518">
        <f t="shared" si="83"/>
        <v>0</v>
      </c>
      <c r="H151" s="519">
        <f t="shared" si="84"/>
        <v>0</v>
      </c>
      <c r="I151" s="818"/>
      <c r="J151" s="819"/>
      <c r="K151" s="819"/>
      <c r="L151" s="1020"/>
      <c r="M151" s="518"/>
      <c r="N151" s="519">
        <f t="shared" si="85"/>
        <v>0</v>
      </c>
      <c r="O151" s="818"/>
      <c r="P151" s="819"/>
      <c r="Q151" s="820"/>
      <c r="R151" s="518"/>
      <c r="S151" s="530">
        <f t="shared" si="86"/>
        <v>0</v>
      </c>
      <c r="T151" s="531">
        <f t="shared" si="87"/>
        <v>0</v>
      </c>
      <c r="U151" s="818"/>
      <c r="V151" s="821"/>
      <c r="W151" s="821"/>
      <c r="X151" s="821"/>
      <c r="Y151" s="822"/>
      <c r="Z151" s="518"/>
      <c r="AA151" s="531">
        <f t="shared" si="88"/>
        <v>0</v>
      </c>
      <c r="AB151" s="825"/>
      <c r="AC151" s="821"/>
      <c r="AD151" s="822"/>
      <c r="AE151" s="518"/>
    </row>
    <row r="152" spans="1:32" s="1087" customFormat="1">
      <c r="A152" s="1388" t="str">
        <f>+$E$203&amp;". "&amp;$F$203</f>
        <v>13. HKK kiadásainak felülvizsgálata</v>
      </c>
      <c r="B152" s="1389"/>
      <c r="C152" s="1389"/>
      <c r="D152" s="1389"/>
      <c r="E152" s="1389"/>
      <c r="F152" s="1390"/>
      <c r="G152" s="1080">
        <f t="shared" si="83"/>
        <v>0</v>
      </c>
      <c r="H152" s="1081">
        <f t="shared" si="84"/>
        <v>0</v>
      </c>
      <c r="I152" s="868"/>
      <c r="J152" s="869"/>
      <c r="K152" s="869"/>
      <c r="L152" s="1082"/>
      <c r="M152" s="1080"/>
      <c r="N152" s="1081">
        <f t="shared" si="85"/>
        <v>0</v>
      </c>
      <c r="O152" s="868"/>
      <c r="P152" s="869"/>
      <c r="Q152" s="870"/>
      <c r="R152" s="1080"/>
      <c r="S152" s="1080">
        <f t="shared" si="86"/>
        <v>-225</v>
      </c>
      <c r="T152" s="1081">
        <f t="shared" si="87"/>
        <v>-225</v>
      </c>
      <c r="U152" s="868">
        <v>-188</v>
      </c>
      <c r="V152" s="1088">
        <v>-37</v>
      </c>
      <c r="W152" s="1088"/>
      <c r="X152" s="1088"/>
      <c r="Y152" s="1089"/>
      <c r="Z152" s="1080"/>
      <c r="AA152" s="1081">
        <f t="shared" si="88"/>
        <v>0</v>
      </c>
      <c r="AB152" s="1090"/>
      <c r="AC152" s="1088"/>
      <c r="AD152" s="1089"/>
      <c r="AE152" s="1080"/>
      <c r="AF152" s="1086">
        <f>-G152+S152</f>
        <v>-225</v>
      </c>
    </row>
    <row r="153" spans="1:32" ht="12.75" thickBot="1">
      <c r="A153" s="590">
        <f>+A151+1</f>
        <v>108</v>
      </c>
      <c r="B153" s="883">
        <v>24</v>
      </c>
      <c r="C153" s="366" t="s">
        <v>1017</v>
      </c>
      <c r="D153" s="1030" t="s">
        <v>1018</v>
      </c>
      <c r="E153" s="1031" t="s">
        <v>1265</v>
      </c>
      <c r="F153" s="1032" t="s">
        <v>1106</v>
      </c>
      <c r="G153" s="518">
        <f t="shared" si="83"/>
        <v>0</v>
      </c>
      <c r="H153" s="519">
        <f t="shared" si="84"/>
        <v>0</v>
      </c>
      <c r="I153" s="818"/>
      <c r="J153" s="819"/>
      <c r="K153" s="819"/>
      <c r="L153" s="1020"/>
      <c r="M153" s="518"/>
      <c r="N153" s="519">
        <f t="shared" si="85"/>
        <v>0</v>
      </c>
      <c r="O153" s="818"/>
      <c r="P153" s="819"/>
      <c r="Q153" s="820"/>
      <c r="R153" s="518"/>
      <c r="S153" s="530">
        <f t="shared" si="86"/>
        <v>0</v>
      </c>
      <c r="T153" s="531">
        <f t="shared" si="87"/>
        <v>0</v>
      </c>
      <c r="U153" s="818"/>
      <c r="V153" s="821"/>
      <c r="W153" s="821"/>
      <c r="X153" s="821"/>
      <c r="Y153" s="822"/>
      <c r="Z153" s="518"/>
      <c r="AA153" s="531">
        <f t="shared" si="88"/>
        <v>0</v>
      </c>
      <c r="AB153" s="825"/>
      <c r="AC153" s="821"/>
      <c r="AD153" s="822"/>
      <c r="AE153" s="518"/>
    </row>
    <row r="154" spans="1:32" s="521" customFormat="1" ht="12.75" thickBot="1">
      <c r="A154" s="586" t="s">
        <v>759</v>
      </c>
      <c r="B154" s="886"/>
      <c r="C154" s="1385" t="s">
        <v>421</v>
      </c>
      <c r="D154" s="1386"/>
      <c r="E154" s="1386"/>
      <c r="F154" s="1387"/>
      <c r="G154" s="538">
        <f t="shared" ref="G154:AE154" si="95">SUM(G146:G153)</f>
        <v>0</v>
      </c>
      <c r="H154" s="422">
        <f t="shared" si="95"/>
        <v>0</v>
      </c>
      <c r="I154" s="539">
        <f t="shared" si="95"/>
        <v>0</v>
      </c>
      <c r="J154" s="377">
        <f t="shared" si="95"/>
        <v>0</v>
      </c>
      <c r="K154" s="377">
        <f t="shared" si="95"/>
        <v>0</v>
      </c>
      <c r="L154" s="1035">
        <f t="shared" si="95"/>
        <v>0</v>
      </c>
      <c r="M154" s="538">
        <f t="shared" si="95"/>
        <v>0</v>
      </c>
      <c r="N154" s="538">
        <f t="shared" si="95"/>
        <v>0</v>
      </c>
      <c r="O154" s="539">
        <f t="shared" si="95"/>
        <v>0</v>
      </c>
      <c r="P154" s="377">
        <f t="shared" si="95"/>
        <v>0</v>
      </c>
      <c r="Q154" s="364">
        <f t="shared" si="95"/>
        <v>0</v>
      </c>
      <c r="R154" s="538">
        <f t="shared" si="95"/>
        <v>0</v>
      </c>
      <c r="S154" s="538">
        <f t="shared" si="95"/>
        <v>-4590</v>
      </c>
      <c r="T154" s="538">
        <f t="shared" si="95"/>
        <v>-494</v>
      </c>
      <c r="U154" s="539">
        <f t="shared" si="95"/>
        <v>-413</v>
      </c>
      <c r="V154" s="377">
        <f t="shared" si="95"/>
        <v>-81</v>
      </c>
      <c r="W154" s="377">
        <f t="shared" si="95"/>
        <v>0</v>
      </c>
      <c r="X154" s="377">
        <f t="shared" si="95"/>
        <v>0</v>
      </c>
      <c r="Y154" s="364">
        <f t="shared" si="95"/>
        <v>0</v>
      </c>
      <c r="Z154" s="538">
        <f t="shared" si="95"/>
        <v>0</v>
      </c>
      <c r="AA154" s="422">
        <f t="shared" si="95"/>
        <v>-4096</v>
      </c>
      <c r="AB154" s="539">
        <f t="shared" si="95"/>
        <v>-4096</v>
      </c>
      <c r="AC154" s="377">
        <f t="shared" si="95"/>
        <v>0</v>
      </c>
      <c r="AD154" s="364">
        <f t="shared" si="95"/>
        <v>0</v>
      </c>
      <c r="AE154" s="538">
        <f t="shared" si="95"/>
        <v>0</v>
      </c>
    </row>
    <row r="155" spans="1:32" s="525" customFormat="1" ht="12.75" customHeight="1" thickBot="1">
      <c r="A155" s="592">
        <f>A153+1</f>
        <v>109</v>
      </c>
      <c r="B155" s="891">
        <v>26</v>
      </c>
      <c r="C155" s="366" t="s">
        <v>19</v>
      </c>
      <c r="D155" s="1030" t="s">
        <v>19</v>
      </c>
      <c r="E155" s="1031" t="s">
        <v>19</v>
      </c>
      <c r="F155" s="1032" t="s">
        <v>19</v>
      </c>
      <c r="G155" s="562">
        <f>+H155+N155</f>
        <v>0</v>
      </c>
      <c r="H155" s="430">
        <f>+I155+J155+K155+L155</f>
        <v>0</v>
      </c>
      <c r="I155" s="836"/>
      <c r="J155" s="833"/>
      <c r="K155" s="833"/>
      <c r="L155" s="1052"/>
      <c r="M155" s="562"/>
      <c r="N155" s="430">
        <f>+O155+P155+Q155</f>
        <v>0</v>
      </c>
      <c r="O155" s="836"/>
      <c r="P155" s="833"/>
      <c r="Q155" s="834"/>
      <c r="R155" s="562"/>
      <c r="S155" s="562">
        <f>+T155+Z155+AA155+AE155</f>
        <v>0</v>
      </c>
      <c r="T155" s="430">
        <f>+U155+V155+W155+X155+Y155</f>
        <v>0</v>
      </c>
      <c r="U155" s="836"/>
      <c r="V155" s="833"/>
      <c r="W155" s="833"/>
      <c r="X155" s="833"/>
      <c r="Y155" s="834"/>
      <c r="Z155" s="562"/>
      <c r="AA155" s="430">
        <f>+AB155+AC155+AD155</f>
        <v>0</v>
      </c>
      <c r="AB155" s="836"/>
      <c r="AC155" s="833"/>
      <c r="AD155" s="834"/>
      <c r="AE155" s="562"/>
    </row>
    <row r="156" spans="1:32" s="521" customFormat="1" ht="12.75" thickBot="1">
      <c r="A156" s="586" t="s">
        <v>642</v>
      </c>
      <c r="B156" s="886"/>
      <c r="C156" s="1385" t="s">
        <v>761</v>
      </c>
      <c r="D156" s="1386"/>
      <c r="E156" s="1386"/>
      <c r="F156" s="1387"/>
      <c r="G156" s="538">
        <f>SUM(G155)</f>
        <v>0</v>
      </c>
      <c r="H156" s="422">
        <f t="shared" ref="H156:R158" si="96">SUM(H155)</f>
        <v>0</v>
      </c>
      <c r="I156" s="539">
        <f t="shared" si="96"/>
        <v>0</v>
      </c>
      <c r="J156" s="377">
        <f t="shared" si="96"/>
        <v>0</v>
      </c>
      <c r="K156" s="377">
        <f t="shared" si="96"/>
        <v>0</v>
      </c>
      <c r="L156" s="1035">
        <f t="shared" si="96"/>
        <v>0</v>
      </c>
      <c r="M156" s="538">
        <f>SUM(M155)</f>
        <v>0</v>
      </c>
      <c r="N156" s="538">
        <f t="shared" si="96"/>
        <v>0</v>
      </c>
      <c r="O156" s="539">
        <f t="shared" si="96"/>
        <v>0</v>
      </c>
      <c r="P156" s="377">
        <f t="shared" si="96"/>
        <v>0</v>
      </c>
      <c r="Q156" s="364">
        <f t="shared" si="96"/>
        <v>0</v>
      </c>
      <c r="R156" s="538">
        <f t="shared" si="96"/>
        <v>0</v>
      </c>
      <c r="S156" s="538">
        <f>SUM(S155)</f>
        <v>0</v>
      </c>
      <c r="T156" s="538">
        <f t="shared" ref="T156:AD158" si="97">SUM(T155)</f>
        <v>0</v>
      </c>
      <c r="U156" s="539">
        <f t="shared" si="97"/>
        <v>0</v>
      </c>
      <c r="V156" s="377">
        <f t="shared" si="97"/>
        <v>0</v>
      </c>
      <c r="W156" s="377">
        <f t="shared" si="97"/>
        <v>0</v>
      </c>
      <c r="X156" s="377">
        <f t="shared" si="97"/>
        <v>0</v>
      </c>
      <c r="Y156" s="364">
        <f t="shared" si="97"/>
        <v>0</v>
      </c>
      <c r="Z156" s="538">
        <f t="shared" si="97"/>
        <v>0</v>
      </c>
      <c r="AA156" s="422">
        <f t="shared" si="97"/>
        <v>0</v>
      </c>
      <c r="AB156" s="539">
        <f t="shared" si="97"/>
        <v>0</v>
      </c>
      <c r="AC156" s="377">
        <f t="shared" si="97"/>
        <v>0</v>
      </c>
      <c r="AD156" s="364">
        <f t="shared" si="97"/>
        <v>0</v>
      </c>
      <c r="AE156" s="538">
        <f>SUM(AE155)</f>
        <v>0</v>
      </c>
    </row>
    <row r="157" spans="1:32" s="525" customFormat="1" ht="12.75" customHeight="1" thickBot="1">
      <c r="A157" s="592">
        <f>+A155+1</f>
        <v>110</v>
      </c>
      <c r="B157" s="891">
        <v>27</v>
      </c>
      <c r="C157" s="366" t="s">
        <v>19</v>
      </c>
      <c r="D157" s="1030" t="s">
        <v>19</v>
      </c>
      <c r="E157" s="1031" t="s">
        <v>19</v>
      </c>
      <c r="F157" s="1032" t="s">
        <v>19</v>
      </c>
      <c r="G157" s="562">
        <f>+H157+N157</f>
        <v>0</v>
      </c>
      <c r="H157" s="430">
        <f>+I157+J157+K157+L157</f>
        <v>0</v>
      </c>
      <c r="I157" s="836"/>
      <c r="J157" s="833"/>
      <c r="K157" s="833"/>
      <c r="L157" s="1052"/>
      <c r="M157" s="562"/>
      <c r="N157" s="430">
        <f>+O157+P157+Q157</f>
        <v>0</v>
      </c>
      <c r="O157" s="836"/>
      <c r="P157" s="833"/>
      <c r="Q157" s="834"/>
      <c r="R157" s="562"/>
      <c r="S157" s="562">
        <f>+T157+Z157+AA157+AE157</f>
        <v>0</v>
      </c>
      <c r="T157" s="430">
        <f>+U157+V157+W157+X157+Y157</f>
        <v>0</v>
      </c>
      <c r="U157" s="836"/>
      <c r="V157" s="833"/>
      <c r="W157" s="833"/>
      <c r="X157" s="833"/>
      <c r="Y157" s="834"/>
      <c r="Z157" s="562"/>
      <c r="AA157" s="430">
        <f>+AB157+AC157+AD157</f>
        <v>0</v>
      </c>
      <c r="AB157" s="836"/>
      <c r="AC157" s="833"/>
      <c r="AD157" s="834"/>
      <c r="AE157" s="562"/>
    </row>
    <row r="158" spans="1:32" s="521" customFormat="1" ht="12.75" thickBot="1">
      <c r="A158" s="586" t="s">
        <v>760</v>
      </c>
      <c r="B158" s="886"/>
      <c r="C158" s="1385" t="s">
        <v>776</v>
      </c>
      <c r="D158" s="1386"/>
      <c r="E158" s="1386"/>
      <c r="F158" s="1387"/>
      <c r="G158" s="538">
        <f>SUM(G157)</f>
        <v>0</v>
      </c>
      <c r="H158" s="422">
        <f t="shared" si="96"/>
        <v>0</v>
      </c>
      <c r="I158" s="539">
        <f t="shared" si="96"/>
        <v>0</v>
      </c>
      <c r="J158" s="377">
        <f t="shared" si="96"/>
        <v>0</v>
      </c>
      <c r="K158" s="377">
        <f t="shared" si="96"/>
        <v>0</v>
      </c>
      <c r="L158" s="1035">
        <f t="shared" si="96"/>
        <v>0</v>
      </c>
      <c r="M158" s="538">
        <f>SUM(M157)</f>
        <v>0</v>
      </c>
      <c r="N158" s="538">
        <f t="shared" si="96"/>
        <v>0</v>
      </c>
      <c r="O158" s="539">
        <f t="shared" si="96"/>
        <v>0</v>
      </c>
      <c r="P158" s="377">
        <f t="shared" si="96"/>
        <v>0</v>
      </c>
      <c r="Q158" s="364">
        <f t="shared" si="96"/>
        <v>0</v>
      </c>
      <c r="R158" s="538">
        <f t="shared" si="96"/>
        <v>0</v>
      </c>
      <c r="S158" s="538">
        <f>SUM(S157)</f>
        <v>0</v>
      </c>
      <c r="T158" s="538">
        <f t="shared" si="97"/>
        <v>0</v>
      </c>
      <c r="U158" s="539">
        <f t="shared" si="97"/>
        <v>0</v>
      </c>
      <c r="V158" s="377">
        <f t="shared" si="97"/>
        <v>0</v>
      </c>
      <c r="W158" s="377">
        <f t="shared" si="97"/>
        <v>0</v>
      </c>
      <c r="X158" s="377">
        <f t="shared" si="97"/>
        <v>0</v>
      </c>
      <c r="Y158" s="364">
        <f t="shared" si="97"/>
        <v>0</v>
      </c>
      <c r="Z158" s="538">
        <f t="shared" si="97"/>
        <v>0</v>
      </c>
      <c r="AA158" s="422">
        <f t="shared" si="97"/>
        <v>0</v>
      </c>
      <c r="AB158" s="539">
        <f t="shared" si="97"/>
        <v>0</v>
      </c>
      <c r="AC158" s="377">
        <f t="shared" si="97"/>
        <v>0</v>
      </c>
      <c r="AD158" s="364">
        <f t="shared" si="97"/>
        <v>0</v>
      </c>
      <c r="AE158" s="538">
        <f>SUM(AE157)</f>
        <v>0</v>
      </c>
    </row>
    <row r="159" spans="1:32" s="521" customFormat="1" ht="12.75" thickBot="1">
      <c r="A159" s="587" t="s">
        <v>20</v>
      </c>
      <c r="B159" s="887"/>
      <c r="C159" s="1379" t="s">
        <v>423</v>
      </c>
      <c r="D159" s="1380"/>
      <c r="E159" s="1380"/>
      <c r="F159" s="1381"/>
      <c r="G159" s="541">
        <f>+G154+G156+G158</f>
        <v>0</v>
      </c>
      <c r="H159" s="544">
        <f t="shared" ref="H159:R159" si="98">+H154+H156+H158</f>
        <v>0</v>
      </c>
      <c r="I159" s="558">
        <f t="shared" si="98"/>
        <v>0</v>
      </c>
      <c r="J159" s="559">
        <f t="shared" si="98"/>
        <v>0</v>
      </c>
      <c r="K159" s="559">
        <f t="shared" si="98"/>
        <v>0</v>
      </c>
      <c r="L159" s="1053">
        <f t="shared" si="98"/>
        <v>0</v>
      </c>
      <c r="M159" s="541">
        <f>+M154+M156+M158</f>
        <v>0</v>
      </c>
      <c r="N159" s="544">
        <f t="shared" si="98"/>
        <v>0</v>
      </c>
      <c r="O159" s="558">
        <f t="shared" si="98"/>
        <v>0</v>
      </c>
      <c r="P159" s="559">
        <f t="shared" si="98"/>
        <v>0</v>
      </c>
      <c r="Q159" s="560">
        <f t="shared" si="98"/>
        <v>0</v>
      </c>
      <c r="R159" s="541">
        <f t="shared" si="98"/>
        <v>0</v>
      </c>
      <c r="S159" s="541">
        <f>+S154+S156+S158</f>
        <v>-4590</v>
      </c>
      <c r="T159" s="579">
        <f t="shared" ref="T159:AD159" si="99">+T154+T156+T158</f>
        <v>-494</v>
      </c>
      <c r="U159" s="542">
        <f t="shared" si="99"/>
        <v>-413</v>
      </c>
      <c r="V159" s="543">
        <f t="shared" si="99"/>
        <v>-81</v>
      </c>
      <c r="W159" s="543">
        <f t="shared" si="99"/>
        <v>0</v>
      </c>
      <c r="X159" s="543">
        <f t="shared" si="99"/>
        <v>0</v>
      </c>
      <c r="Y159" s="544">
        <f t="shared" si="99"/>
        <v>0</v>
      </c>
      <c r="Z159" s="541">
        <f t="shared" si="99"/>
        <v>0</v>
      </c>
      <c r="AA159" s="580">
        <f t="shared" si="99"/>
        <v>-4096</v>
      </c>
      <c r="AB159" s="542">
        <f t="shared" si="99"/>
        <v>-4096</v>
      </c>
      <c r="AC159" s="543">
        <f t="shared" si="99"/>
        <v>0</v>
      </c>
      <c r="AD159" s="544">
        <f t="shared" si="99"/>
        <v>0</v>
      </c>
      <c r="AE159" s="541">
        <f>+AE154+AE156+AE158</f>
        <v>0</v>
      </c>
    </row>
    <row r="160" spans="1:32" s="521" customFormat="1" ht="12.75" thickBot="1">
      <c r="A160" s="586"/>
      <c r="B160" s="890"/>
      <c r="C160" s="365"/>
      <c r="D160" s="585"/>
      <c r="E160" s="1049"/>
      <c r="F160" s="537"/>
      <c r="G160" s="538"/>
      <c r="H160" s="422"/>
      <c r="I160" s="539"/>
      <c r="J160" s="377"/>
      <c r="K160" s="377"/>
      <c r="L160" s="1035"/>
      <c r="M160" s="538"/>
      <c r="N160" s="422"/>
      <c r="O160" s="539"/>
      <c r="P160" s="377"/>
      <c r="Q160" s="364"/>
      <c r="R160" s="538"/>
      <c r="S160" s="538"/>
      <c r="T160" s="422"/>
      <c r="U160" s="918"/>
      <c r="V160" s="919"/>
      <c r="W160" s="919"/>
      <c r="X160" s="919"/>
      <c r="Y160" s="920"/>
      <c r="Z160" s="538"/>
      <c r="AA160" s="422"/>
      <c r="AB160" s="918"/>
      <c r="AC160" s="919"/>
      <c r="AD160" s="920"/>
      <c r="AE160" s="538"/>
    </row>
    <row r="161" spans="1:32" s="525" customFormat="1" ht="12.75" customHeight="1" thickBot="1">
      <c r="A161" s="590">
        <f>A157+1</f>
        <v>111</v>
      </c>
      <c r="B161" s="884">
        <v>28</v>
      </c>
      <c r="C161" s="366" t="s">
        <v>19</v>
      </c>
      <c r="D161" s="1030" t="s">
        <v>19</v>
      </c>
      <c r="E161" s="1031" t="s">
        <v>19</v>
      </c>
      <c r="F161" s="1032" t="s">
        <v>19</v>
      </c>
      <c r="G161" s="518">
        <f>+H161+M161+N161+R161</f>
        <v>0</v>
      </c>
      <c r="H161" s="519">
        <f>+I161+J161+K161+L161</f>
        <v>0</v>
      </c>
      <c r="I161" s="818"/>
      <c r="J161" s="821"/>
      <c r="K161" s="821"/>
      <c r="L161" s="1034"/>
      <c r="M161" s="518"/>
      <c r="N161" s="519">
        <f>+O161+P161+Q161</f>
        <v>0</v>
      </c>
      <c r="O161" s="825"/>
      <c r="P161" s="821"/>
      <c r="Q161" s="822"/>
      <c r="R161" s="518"/>
      <c r="S161" s="518">
        <f>+T161+Z161+AA161+AE161</f>
        <v>0</v>
      </c>
      <c r="T161" s="519">
        <f>+U161+V161+W161+X161+Y161</f>
        <v>0</v>
      </c>
      <c r="U161" s="818"/>
      <c r="V161" s="819"/>
      <c r="W161" s="819"/>
      <c r="X161" s="819"/>
      <c r="Y161" s="820"/>
      <c r="Z161" s="518"/>
      <c r="AA161" s="519">
        <f>+AB161+AC161+AD161</f>
        <v>0</v>
      </c>
      <c r="AB161" s="818"/>
      <c r="AC161" s="819"/>
      <c r="AD161" s="820"/>
      <c r="AE161" s="518"/>
    </row>
    <row r="162" spans="1:32" s="521" customFormat="1" ht="12.75" thickBot="1">
      <c r="A162" s="586" t="s">
        <v>895</v>
      </c>
      <c r="B162" s="886"/>
      <c r="C162" s="1385" t="s">
        <v>870</v>
      </c>
      <c r="D162" s="1386"/>
      <c r="E162" s="1386"/>
      <c r="F162" s="1387"/>
      <c r="G162" s="538">
        <f>SUM(G161)</f>
        <v>0</v>
      </c>
      <c r="H162" s="422">
        <f t="shared" ref="H162:R162" si="100">SUM(H161)</f>
        <v>0</v>
      </c>
      <c r="I162" s="539">
        <f t="shared" si="100"/>
        <v>0</v>
      </c>
      <c r="J162" s="377">
        <f t="shared" si="100"/>
        <v>0</v>
      </c>
      <c r="K162" s="377">
        <f t="shared" si="100"/>
        <v>0</v>
      </c>
      <c r="L162" s="1035">
        <f t="shared" si="100"/>
        <v>0</v>
      </c>
      <c r="M162" s="538">
        <f>SUM(M161)</f>
        <v>0</v>
      </c>
      <c r="N162" s="538">
        <f t="shared" si="100"/>
        <v>0</v>
      </c>
      <c r="O162" s="539">
        <f t="shared" si="100"/>
        <v>0</v>
      </c>
      <c r="P162" s="377">
        <f t="shared" si="100"/>
        <v>0</v>
      </c>
      <c r="Q162" s="364">
        <f t="shared" si="100"/>
        <v>0</v>
      </c>
      <c r="R162" s="538">
        <f t="shared" si="100"/>
        <v>0</v>
      </c>
      <c r="S162" s="538">
        <f>SUM(S161)</f>
        <v>0</v>
      </c>
      <c r="T162" s="538">
        <f t="shared" ref="T162:AD162" si="101">SUM(T161)</f>
        <v>0</v>
      </c>
      <c r="U162" s="539">
        <f t="shared" si="101"/>
        <v>0</v>
      </c>
      <c r="V162" s="377">
        <f t="shared" si="101"/>
        <v>0</v>
      </c>
      <c r="W162" s="377">
        <f t="shared" si="101"/>
        <v>0</v>
      </c>
      <c r="X162" s="377">
        <f t="shared" si="101"/>
        <v>0</v>
      </c>
      <c r="Y162" s="364">
        <f t="shared" si="101"/>
        <v>0</v>
      </c>
      <c r="Z162" s="538">
        <f t="shared" si="101"/>
        <v>0</v>
      </c>
      <c r="AA162" s="422">
        <f t="shared" si="101"/>
        <v>0</v>
      </c>
      <c r="AB162" s="539">
        <f t="shared" si="101"/>
        <v>0</v>
      </c>
      <c r="AC162" s="377">
        <f t="shared" si="101"/>
        <v>0</v>
      </c>
      <c r="AD162" s="364">
        <f t="shared" si="101"/>
        <v>0</v>
      </c>
      <c r="AE162" s="538">
        <f>SUM(AE161)</f>
        <v>0</v>
      </c>
    </row>
    <row r="163" spans="1:32" s="525" customFormat="1" ht="12.75" customHeight="1">
      <c r="A163" s="946">
        <f>A161+1</f>
        <v>112</v>
      </c>
      <c r="B163" s="889">
        <v>29</v>
      </c>
      <c r="C163" s="371" t="s">
        <v>1090</v>
      </c>
      <c r="D163" s="1042" t="s">
        <v>1091</v>
      </c>
      <c r="E163" s="1043" t="s">
        <v>1265</v>
      </c>
      <c r="F163" s="1019" t="s">
        <v>1091</v>
      </c>
      <c r="G163" s="516">
        <f t="shared" ref="G163:G166" si="102">+H163+M163+N163+R163</f>
        <v>0</v>
      </c>
      <c r="H163" s="517">
        <f t="shared" ref="H163:H166" si="103">+I163+J163+K163+L163</f>
        <v>0</v>
      </c>
      <c r="I163" s="827"/>
      <c r="J163" s="828"/>
      <c r="K163" s="828"/>
      <c r="L163" s="1044"/>
      <c r="M163" s="516"/>
      <c r="N163" s="517">
        <f t="shared" ref="N163:N166" si="104">+O163+P163+Q163</f>
        <v>0</v>
      </c>
      <c r="O163" s="827"/>
      <c r="P163" s="828"/>
      <c r="Q163" s="829"/>
      <c r="R163" s="516"/>
      <c r="S163" s="516">
        <f t="shared" ref="S163:S166" si="105">+T163+Z163+AA163+AE163</f>
        <v>0</v>
      </c>
      <c r="T163" s="517">
        <f t="shared" ref="T163:T166" si="106">+U163+V163+W163+X163+Y163</f>
        <v>0</v>
      </c>
      <c r="U163" s="827"/>
      <c r="V163" s="828"/>
      <c r="W163" s="828"/>
      <c r="X163" s="828"/>
      <c r="Y163" s="829"/>
      <c r="Z163" s="516"/>
      <c r="AA163" s="517">
        <f t="shared" ref="AA163:AA166" si="107">+AB163+AC163+AD163</f>
        <v>0</v>
      </c>
      <c r="AB163" s="827"/>
      <c r="AC163" s="828"/>
      <c r="AD163" s="829"/>
      <c r="AE163" s="516"/>
    </row>
    <row r="164" spans="1:32" s="1087" customFormat="1">
      <c r="A164" s="1388" t="str">
        <f>+$E$204&amp;". "&amp;$F$204</f>
        <v>14. MŐSZ kiadásainak felülvizsgálata (eszközbeszerzés)</v>
      </c>
      <c r="B164" s="1389"/>
      <c r="C164" s="1389"/>
      <c r="D164" s="1389"/>
      <c r="E164" s="1389"/>
      <c r="F164" s="1390"/>
      <c r="G164" s="1080">
        <f t="shared" si="102"/>
        <v>0</v>
      </c>
      <c r="H164" s="1081">
        <f t="shared" si="103"/>
        <v>0</v>
      </c>
      <c r="I164" s="868"/>
      <c r="J164" s="869"/>
      <c r="K164" s="869"/>
      <c r="L164" s="1082"/>
      <c r="M164" s="1080"/>
      <c r="N164" s="1081">
        <f t="shared" si="104"/>
        <v>0</v>
      </c>
      <c r="O164" s="868"/>
      <c r="P164" s="869"/>
      <c r="Q164" s="870"/>
      <c r="R164" s="1080"/>
      <c r="S164" s="1080">
        <f t="shared" si="105"/>
        <v>-2000</v>
      </c>
      <c r="T164" s="1081">
        <f t="shared" si="106"/>
        <v>0</v>
      </c>
      <c r="U164" s="868"/>
      <c r="V164" s="1088"/>
      <c r="W164" s="1088"/>
      <c r="X164" s="1088"/>
      <c r="Y164" s="1089"/>
      <c r="Z164" s="1080"/>
      <c r="AA164" s="1081">
        <f t="shared" si="107"/>
        <v>-2000</v>
      </c>
      <c r="AB164" s="1090">
        <f>+H204</f>
        <v>-2000</v>
      </c>
      <c r="AC164" s="1088"/>
      <c r="AD164" s="1089"/>
      <c r="AE164" s="1080"/>
      <c r="AF164" s="1086">
        <f>-G164+S164</f>
        <v>-2000</v>
      </c>
    </row>
    <row r="165" spans="1:32" s="525" customFormat="1" ht="12.75" customHeight="1">
      <c r="A165" s="591">
        <f>A163+1</f>
        <v>113</v>
      </c>
      <c r="B165" s="883">
        <v>29</v>
      </c>
      <c r="C165" s="451" t="s">
        <v>1017</v>
      </c>
      <c r="D165" s="583" t="s">
        <v>1018</v>
      </c>
      <c r="E165" s="1050" t="s">
        <v>1265</v>
      </c>
      <c r="F165" s="1051" t="s">
        <v>1091</v>
      </c>
      <c r="G165" s="518">
        <f t="shared" si="102"/>
        <v>0</v>
      </c>
      <c r="H165" s="519">
        <f t="shared" si="103"/>
        <v>0</v>
      </c>
      <c r="I165" s="818"/>
      <c r="J165" s="819"/>
      <c r="K165" s="819"/>
      <c r="L165" s="1020"/>
      <c r="M165" s="518"/>
      <c r="N165" s="519">
        <f t="shared" si="104"/>
        <v>0</v>
      </c>
      <c r="O165" s="818"/>
      <c r="P165" s="819"/>
      <c r="Q165" s="820"/>
      <c r="R165" s="518"/>
      <c r="S165" s="518">
        <f t="shared" si="105"/>
        <v>0</v>
      </c>
      <c r="T165" s="519">
        <f t="shared" si="106"/>
        <v>0</v>
      </c>
      <c r="U165" s="818"/>
      <c r="V165" s="819"/>
      <c r="W165" s="819"/>
      <c r="X165" s="819"/>
      <c r="Y165" s="820"/>
      <c r="Z165" s="518"/>
      <c r="AA165" s="519">
        <f t="shared" si="107"/>
        <v>0</v>
      </c>
      <c r="AB165" s="818"/>
      <c r="AC165" s="819"/>
      <c r="AD165" s="820"/>
      <c r="AE165" s="518"/>
    </row>
    <row r="166" spans="1:32" s="1087" customFormat="1" ht="12.75" thickBot="1">
      <c r="A166" s="1382" t="str">
        <f>+$E$205&amp;". "&amp;$F$205</f>
        <v>15. MŐSZ negatív finanszírozás rendezése</v>
      </c>
      <c r="B166" s="1383"/>
      <c r="C166" s="1383"/>
      <c r="D166" s="1383"/>
      <c r="E166" s="1383"/>
      <c r="F166" s="1384"/>
      <c r="G166" s="1080">
        <f t="shared" si="102"/>
        <v>0</v>
      </c>
      <c r="H166" s="1081">
        <f t="shared" si="103"/>
        <v>0</v>
      </c>
      <c r="I166" s="868"/>
      <c r="J166" s="869"/>
      <c r="K166" s="869"/>
      <c r="L166" s="1082"/>
      <c r="M166" s="1080"/>
      <c r="N166" s="1081">
        <f t="shared" si="104"/>
        <v>0</v>
      </c>
      <c r="O166" s="868"/>
      <c r="P166" s="869"/>
      <c r="Q166" s="870"/>
      <c r="R166" s="1080"/>
      <c r="S166" s="1080">
        <f t="shared" si="105"/>
        <v>2000</v>
      </c>
      <c r="T166" s="1081">
        <f t="shared" si="106"/>
        <v>2000</v>
      </c>
      <c r="U166" s="868"/>
      <c r="V166" s="1088"/>
      <c r="W166" s="1088"/>
      <c r="X166" s="1088"/>
      <c r="Y166" s="1089">
        <v>2000</v>
      </c>
      <c r="Z166" s="1080"/>
      <c r="AA166" s="1081">
        <f t="shared" si="107"/>
        <v>0</v>
      </c>
      <c r="AB166" s="1090"/>
      <c r="AC166" s="1088"/>
      <c r="AD166" s="1089"/>
      <c r="AE166" s="1080"/>
      <c r="AF166" s="1086">
        <f>-G166+S166</f>
        <v>2000</v>
      </c>
    </row>
    <row r="167" spans="1:32" s="521" customFormat="1" ht="12.75" thickBot="1">
      <c r="A167" s="586" t="s">
        <v>896</v>
      </c>
      <c r="B167" s="886"/>
      <c r="C167" s="1385" t="s">
        <v>871</v>
      </c>
      <c r="D167" s="1386"/>
      <c r="E167" s="1386"/>
      <c r="F167" s="1387"/>
      <c r="G167" s="538">
        <f>SUM(G163:G166)</f>
        <v>0</v>
      </c>
      <c r="H167" s="422">
        <f t="shared" ref="H167:AE167" si="108">SUM(H163:H166)</f>
        <v>0</v>
      </c>
      <c r="I167" s="539">
        <f t="shared" si="108"/>
        <v>0</v>
      </c>
      <c r="J167" s="377">
        <f t="shared" si="108"/>
        <v>0</v>
      </c>
      <c r="K167" s="377">
        <f t="shared" si="108"/>
        <v>0</v>
      </c>
      <c r="L167" s="1035">
        <f t="shared" si="108"/>
        <v>0</v>
      </c>
      <c r="M167" s="538">
        <f t="shared" si="108"/>
        <v>0</v>
      </c>
      <c r="N167" s="538">
        <f t="shared" si="108"/>
        <v>0</v>
      </c>
      <c r="O167" s="539">
        <f t="shared" si="108"/>
        <v>0</v>
      </c>
      <c r="P167" s="377">
        <f t="shared" si="108"/>
        <v>0</v>
      </c>
      <c r="Q167" s="364">
        <f t="shared" si="108"/>
        <v>0</v>
      </c>
      <c r="R167" s="538">
        <f t="shared" si="108"/>
        <v>0</v>
      </c>
      <c r="S167" s="538">
        <f t="shared" si="108"/>
        <v>0</v>
      </c>
      <c r="T167" s="538">
        <f t="shared" si="108"/>
        <v>2000</v>
      </c>
      <c r="U167" s="539">
        <f t="shared" si="108"/>
        <v>0</v>
      </c>
      <c r="V167" s="377">
        <f t="shared" si="108"/>
        <v>0</v>
      </c>
      <c r="W167" s="377">
        <f t="shared" si="108"/>
        <v>0</v>
      </c>
      <c r="X167" s="377">
        <f t="shared" si="108"/>
        <v>0</v>
      </c>
      <c r="Y167" s="364">
        <f t="shared" si="108"/>
        <v>2000</v>
      </c>
      <c r="Z167" s="538">
        <f t="shared" si="108"/>
        <v>0</v>
      </c>
      <c r="AA167" s="422">
        <f t="shared" si="108"/>
        <v>-2000</v>
      </c>
      <c r="AB167" s="539">
        <f t="shared" si="108"/>
        <v>-2000</v>
      </c>
      <c r="AC167" s="377">
        <f t="shared" si="108"/>
        <v>0</v>
      </c>
      <c r="AD167" s="364">
        <f t="shared" si="108"/>
        <v>0</v>
      </c>
      <c r="AE167" s="538">
        <f t="shared" si="108"/>
        <v>0</v>
      </c>
    </row>
    <row r="168" spans="1:32" s="525" customFormat="1" ht="12.75" customHeight="1" thickBot="1">
      <c r="A168" s="592">
        <f>+A165+1</f>
        <v>114</v>
      </c>
      <c r="B168" s="891">
        <v>30</v>
      </c>
      <c r="C168" s="366" t="s">
        <v>19</v>
      </c>
      <c r="D168" s="1030" t="s">
        <v>19</v>
      </c>
      <c r="E168" s="1031" t="s">
        <v>19</v>
      </c>
      <c r="F168" s="1032" t="s">
        <v>19</v>
      </c>
      <c r="G168" s="562">
        <f>+H168+M168+N168+R168</f>
        <v>0</v>
      </c>
      <c r="H168" s="430">
        <f>+I168+J168+K168+L168</f>
        <v>0</v>
      </c>
      <c r="I168" s="836"/>
      <c r="J168" s="833"/>
      <c r="K168" s="833"/>
      <c r="L168" s="1052"/>
      <c r="M168" s="562"/>
      <c r="N168" s="430">
        <f>+O168+P168+Q168</f>
        <v>0</v>
      </c>
      <c r="O168" s="836"/>
      <c r="P168" s="833"/>
      <c r="Q168" s="834"/>
      <c r="R168" s="562"/>
      <c r="S168" s="562">
        <f>+T168+Z168+AA168+AE168</f>
        <v>0</v>
      </c>
      <c r="T168" s="430">
        <f>+U168+V168+W168+X168+Y168</f>
        <v>0</v>
      </c>
      <c r="U168" s="836"/>
      <c r="V168" s="833"/>
      <c r="W168" s="833"/>
      <c r="X168" s="833"/>
      <c r="Y168" s="834"/>
      <c r="Z168" s="562"/>
      <c r="AA168" s="430">
        <f>+AB168+AC168+AD168</f>
        <v>0</v>
      </c>
      <c r="AB168" s="836"/>
      <c r="AC168" s="833"/>
      <c r="AD168" s="834"/>
      <c r="AE168" s="562"/>
    </row>
    <row r="169" spans="1:32" s="521" customFormat="1" ht="12.75" thickBot="1">
      <c r="A169" s="586" t="s">
        <v>897</v>
      </c>
      <c r="B169" s="886"/>
      <c r="C169" s="1385" t="s">
        <v>898</v>
      </c>
      <c r="D169" s="1386"/>
      <c r="E169" s="1386"/>
      <c r="F169" s="1387"/>
      <c r="G169" s="538">
        <f>SUM(G168)</f>
        <v>0</v>
      </c>
      <c r="H169" s="422">
        <f t="shared" ref="H169:R169" si="109">SUM(H168)</f>
        <v>0</v>
      </c>
      <c r="I169" s="539">
        <f t="shared" si="109"/>
        <v>0</v>
      </c>
      <c r="J169" s="377">
        <f t="shared" si="109"/>
        <v>0</v>
      </c>
      <c r="K169" s="377">
        <f t="shared" si="109"/>
        <v>0</v>
      </c>
      <c r="L169" s="1035">
        <f t="shared" si="109"/>
        <v>0</v>
      </c>
      <c r="M169" s="538">
        <f>SUM(M168)</f>
        <v>0</v>
      </c>
      <c r="N169" s="422">
        <f t="shared" si="109"/>
        <v>0</v>
      </c>
      <c r="O169" s="539">
        <f t="shared" si="109"/>
        <v>0</v>
      </c>
      <c r="P169" s="377">
        <f t="shared" si="109"/>
        <v>0</v>
      </c>
      <c r="Q169" s="364">
        <f t="shared" si="109"/>
        <v>0</v>
      </c>
      <c r="R169" s="538">
        <f t="shared" si="109"/>
        <v>0</v>
      </c>
      <c r="S169" s="538">
        <f>SUM(S168)</f>
        <v>0</v>
      </c>
      <c r="T169" s="538">
        <f t="shared" ref="T169:AD169" si="110">SUM(T168)</f>
        <v>0</v>
      </c>
      <c r="U169" s="539">
        <f t="shared" si="110"/>
        <v>0</v>
      </c>
      <c r="V169" s="377">
        <f t="shared" si="110"/>
        <v>0</v>
      </c>
      <c r="W169" s="377">
        <f t="shared" si="110"/>
        <v>0</v>
      </c>
      <c r="X169" s="377">
        <f t="shared" si="110"/>
        <v>0</v>
      </c>
      <c r="Y169" s="364">
        <f t="shared" si="110"/>
        <v>0</v>
      </c>
      <c r="Z169" s="538">
        <f t="shared" si="110"/>
        <v>0</v>
      </c>
      <c r="AA169" s="422">
        <f t="shared" si="110"/>
        <v>0</v>
      </c>
      <c r="AB169" s="539">
        <f t="shared" si="110"/>
        <v>0</v>
      </c>
      <c r="AC169" s="377">
        <f t="shared" si="110"/>
        <v>0</v>
      </c>
      <c r="AD169" s="364">
        <f t="shared" si="110"/>
        <v>0</v>
      </c>
      <c r="AE169" s="538">
        <f>SUM(AE168)</f>
        <v>0</v>
      </c>
    </row>
    <row r="170" spans="1:32" s="521" customFormat="1" ht="12.75" thickBot="1">
      <c r="A170" s="587" t="s">
        <v>560</v>
      </c>
      <c r="B170" s="887"/>
      <c r="C170" s="1379" t="s">
        <v>872</v>
      </c>
      <c r="D170" s="1380"/>
      <c r="E170" s="1380"/>
      <c r="F170" s="1381"/>
      <c r="G170" s="541">
        <f t="shared" ref="G170:AE170" si="111">+G162+G167+G169</f>
        <v>0</v>
      </c>
      <c r="H170" s="544">
        <f t="shared" si="111"/>
        <v>0</v>
      </c>
      <c r="I170" s="558">
        <f t="shared" si="111"/>
        <v>0</v>
      </c>
      <c r="J170" s="559">
        <f t="shared" si="111"/>
        <v>0</v>
      </c>
      <c r="K170" s="559">
        <f t="shared" si="111"/>
        <v>0</v>
      </c>
      <c r="L170" s="1053">
        <f t="shared" si="111"/>
        <v>0</v>
      </c>
      <c r="M170" s="541">
        <f t="shared" si="111"/>
        <v>0</v>
      </c>
      <c r="N170" s="544">
        <f t="shared" si="111"/>
        <v>0</v>
      </c>
      <c r="O170" s="558">
        <f t="shared" si="111"/>
        <v>0</v>
      </c>
      <c r="P170" s="559">
        <f t="shared" si="111"/>
        <v>0</v>
      </c>
      <c r="Q170" s="560">
        <f t="shared" si="111"/>
        <v>0</v>
      </c>
      <c r="R170" s="541">
        <f t="shared" si="111"/>
        <v>0</v>
      </c>
      <c r="S170" s="541">
        <f t="shared" si="111"/>
        <v>0</v>
      </c>
      <c r="T170" s="579">
        <f t="shared" si="111"/>
        <v>2000</v>
      </c>
      <c r="U170" s="542">
        <f t="shared" si="111"/>
        <v>0</v>
      </c>
      <c r="V170" s="543">
        <f t="shared" si="111"/>
        <v>0</v>
      </c>
      <c r="W170" s="543">
        <f t="shared" si="111"/>
        <v>0</v>
      </c>
      <c r="X170" s="543">
        <f t="shared" si="111"/>
        <v>0</v>
      </c>
      <c r="Y170" s="544">
        <f t="shared" si="111"/>
        <v>2000</v>
      </c>
      <c r="Z170" s="541">
        <f t="shared" si="111"/>
        <v>0</v>
      </c>
      <c r="AA170" s="580">
        <f t="shared" si="111"/>
        <v>-2000</v>
      </c>
      <c r="AB170" s="542">
        <f t="shared" si="111"/>
        <v>-2000</v>
      </c>
      <c r="AC170" s="543">
        <f t="shared" si="111"/>
        <v>0</v>
      </c>
      <c r="AD170" s="544">
        <f t="shared" si="111"/>
        <v>0</v>
      </c>
      <c r="AE170" s="541">
        <f t="shared" si="111"/>
        <v>0</v>
      </c>
    </row>
    <row r="171" spans="1:32" s="521" customFormat="1" ht="12.75" thickBot="1">
      <c r="A171" s="586"/>
      <c r="B171" s="890"/>
      <c r="C171" s="365"/>
      <c r="D171" s="585"/>
      <c r="E171" s="1049"/>
      <c r="F171" s="537"/>
      <c r="G171" s="538"/>
      <c r="H171" s="422"/>
      <c r="I171" s="539"/>
      <c r="J171" s="377"/>
      <c r="K171" s="377"/>
      <c r="L171" s="1035"/>
      <c r="M171" s="538"/>
      <c r="N171" s="422"/>
      <c r="O171" s="539"/>
      <c r="P171" s="377"/>
      <c r="Q171" s="364"/>
      <c r="R171" s="538"/>
      <c r="S171" s="538"/>
      <c r="T171" s="422"/>
      <c r="U171" s="554"/>
      <c r="V171" s="555"/>
      <c r="W171" s="555"/>
      <c r="X171" s="555"/>
      <c r="Y171" s="556"/>
      <c r="Z171" s="538"/>
      <c r="AA171" s="422"/>
      <c r="AB171" s="554"/>
      <c r="AC171" s="555"/>
      <c r="AD171" s="556"/>
      <c r="AE171" s="538"/>
    </row>
    <row r="172" spans="1:32">
      <c r="A172" s="590">
        <f>+A168+1</f>
        <v>115</v>
      </c>
      <c r="B172" s="883">
        <v>31</v>
      </c>
      <c r="C172" s="366" t="s">
        <v>1038</v>
      </c>
      <c r="D172" s="1030" t="s">
        <v>1039</v>
      </c>
      <c r="E172" s="1031" t="s">
        <v>1285</v>
      </c>
      <c r="F172" s="1032" t="s">
        <v>1040</v>
      </c>
      <c r="G172" s="518">
        <f t="shared" ref="G172:G176" si="112">+H172+M172+N172+R172</f>
        <v>0</v>
      </c>
      <c r="H172" s="519">
        <f t="shared" ref="H172:H176" si="113">+I172+J172+K172+L172</f>
        <v>0</v>
      </c>
      <c r="I172" s="818"/>
      <c r="J172" s="819"/>
      <c r="K172" s="819"/>
      <c r="L172" s="1020"/>
      <c r="M172" s="518"/>
      <c r="N172" s="519">
        <f t="shared" ref="N172:N176" si="114">+O172+P172+Q172</f>
        <v>0</v>
      </c>
      <c r="O172" s="818"/>
      <c r="P172" s="819"/>
      <c r="Q172" s="820"/>
      <c r="R172" s="518"/>
      <c r="S172" s="530">
        <f t="shared" ref="S172:S176" si="115">+T172+Z172+AA172+AE172</f>
        <v>0</v>
      </c>
      <c r="T172" s="531">
        <f t="shared" ref="T172:T176" si="116">+U172+V172+W172+X172+Y172</f>
        <v>0</v>
      </c>
      <c r="U172" s="818"/>
      <c r="V172" s="819"/>
      <c r="W172" s="819"/>
      <c r="X172" s="819"/>
      <c r="Y172" s="820"/>
      <c r="Z172" s="518"/>
      <c r="AA172" s="531">
        <f t="shared" ref="AA172:AA176" si="117">+AB172+AC172+AD172</f>
        <v>0</v>
      </c>
      <c r="AB172" s="818"/>
      <c r="AC172" s="819"/>
      <c r="AD172" s="820"/>
      <c r="AE172" s="518"/>
    </row>
    <row r="173" spans="1:32">
      <c r="A173" s="590">
        <f>+A172+1</f>
        <v>116</v>
      </c>
      <c r="B173" s="883">
        <v>31</v>
      </c>
      <c r="C173" s="369" t="s">
        <v>1038</v>
      </c>
      <c r="D173" s="1022" t="s">
        <v>1039</v>
      </c>
      <c r="E173" s="1025" t="s">
        <v>1286</v>
      </c>
      <c r="F173" s="1027" t="s">
        <v>1041</v>
      </c>
      <c r="G173" s="518">
        <f t="shared" si="112"/>
        <v>0</v>
      </c>
      <c r="H173" s="519">
        <f t="shared" si="113"/>
        <v>0</v>
      </c>
      <c r="I173" s="818"/>
      <c r="J173" s="819"/>
      <c r="K173" s="819"/>
      <c r="L173" s="1020"/>
      <c r="M173" s="518"/>
      <c r="N173" s="519">
        <f t="shared" si="114"/>
        <v>0</v>
      </c>
      <c r="O173" s="818"/>
      <c r="P173" s="819"/>
      <c r="Q173" s="820"/>
      <c r="R173" s="518"/>
      <c r="S173" s="530">
        <f t="shared" si="115"/>
        <v>0</v>
      </c>
      <c r="T173" s="531">
        <f t="shared" si="116"/>
        <v>0</v>
      </c>
      <c r="U173" s="818"/>
      <c r="V173" s="821"/>
      <c r="W173" s="821"/>
      <c r="X173" s="821"/>
      <c r="Y173" s="822"/>
      <c r="Z173" s="518"/>
      <c r="AA173" s="531">
        <f t="shared" si="117"/>
        <v>0</v>
      </c>
      <c r="AB173" s="825"/>
      <c r="AC173" s="821"/>
      <c r="AD173" s="822"/>
      <c r="AE173" s="518"/>
    </row>
    <row r="174" spans="1:32">
      <c r="A174" s="590">
        <f>+A173+1</f>
        <v>117</v>
      </c>
      <c r="B174" s="883">
        <v>31</v>
      </c>
      <c r="C174" s="369" t="s">
        <v>1043</v>
      </c>
      <c r="D174" s="1022" t="s">
        <v>1042</v>
      </c>
      <c r="E174" s="1025" t="s">
        <v>1285</v>
      </c>
      <c r="F174" s="1027" t="s">
        <v>1040</v>
      </c>
      <c r="G174" s="518">
        <f t="shared" si="112"/>
        <v>0</v>
      </c>
      <c r="H174" s="519">
        <f t="shared" si="113"/>
        <v>0</v>
      </c>
      <c r="I174" s="818"/>
      <c r="J174" s="819"/>
      <c r="K174" s="819"/>
      <c r="L174" s="1020"/>
      <c r="M174" s="518"/>
      <c r="N174" s="519">
        <f t="shared" si="114"/>
        <v>0</v>
      </c>
      <c r="O174" s="818"/>
      <c r="P174" s="819"/>
      <c r="Q174" s="820"/>
      <c r="R174" s="518"/>
      <c r="S174" s="530">
        <f t="shared" si="115"/>
        <v>0</v>
      </c>
      <c r="T174" s="531">
        <f t="shared" si="116"/>
        <v>0</v>
      </c>
      <c r="U174" s="818"/>
      <c r="V174" s="821"/>
      <c r="W174" s="821"/>
      <c r="X174" s="821"/>
      <c r="Y174" s="822"/>
      <c r="Z174" s="518"/>
      <c r="AA174" s="531">
        <f t="shared" si="117"/>
        <v>0</v>
      </c>
      <c r="AB174" s="825"/>
      <c r="AC174" s="821"/>
      <c r="AD174" s="822"/>
      <c r="AE174" s="518"/>
    </row>
    <row r="175" spans="1:32">
      <c r="A175" s="590">
        <f>+A174+1</f>
        <v>118</v>
      </c>
      <c r="B175" s="883">
        <v>31</v>
      </c>
      <c r="C175" s="366" t="s">
        <v>1043</v>
      </c>
      <c r="D175" s="1030" t="s">
        <v>1042</v>
      </c>
      <c r="E175" s="1031" t="s">
        <v>1286</v>
      </c>
      <c r="F175" s="1032" t="s">
        <v>1041</v>
      </c>
      <c r="G175" s="518">
        <f>+H175+M175+N175+R175</f>
        <v>0</v>
      </c>
      <c r="H175" s="519">
        <f>+I175+J175+K175+L175</f>
        <v>0</v>
      </c>
      <c r="I175" s="818"/>
      <c r="J175" s="819"/>
      <c r="K175" s="819"/>
      <c r="L175" s="1020"/>
      <c r="M175" s="518"/>
      <c r="N175" s="519">
        <f>+O175+P175+Q175</f>
        <v>0</v>
      </c>
      <c r="O175" s="818"/>
      <c r="P175" s="819"/>
      <c r="Q175" s="820"/>
      <c r="R175" s="518"/>
      <c r="S175" s="530">
        <f>+T175+Z175+AA175+AE175</f>
        <v>0</v>
      </c>
      <c r="T175" s="531">
        <f>+U175+V175+W175+X175+Y175</f>
        <v>0</v>
      </c>
      <c r="U175" s="818"/>
      <c r="V175" s="821"/>
      <c r="W175" s="821"/>
      <c r="X175" s="821"/>
      <c r="Y175" s="822"/>
      <c r="Z175" s="518"/>
      <c r="AA175" s="531">
        <f>+AB175+AC175+AD175</f>
        <v>0</v>
      </c>
      <c r="AB175" s="825"/>
      <c r="AC175" s="821"/>
      <c r="AD175" s="822"/>
      <c r="AE175" s="518"/>
    </row>
    <row r="176" spans="1:32" ht="12.75" thickBot="1">
      <c r="A176" s="590">
        <f>+A175+1</f>
        <v>119</v>
      </c>
      <c r="B176" s="883">
        <v>31</v>
      </c>
      <c r="C176" s="366" t="s">
        <v>1017</v>
      </c>
      <c r="D176" s="1030" t="s">
        <v>1018</v>
      </c>
      <c r="E176" s="1031" t="s">
        <v>1285</v>
      </c>
      <c r="F176" s="1032" t="s">
        <v>1040</v>
      </c>
      <c r="G176" s="518">
        <f t="shared" si="112"/>
        <v>0</v>
      </c>
      <c r="H176" s="519">
        <f t="shared" si="113"/>
        <v>0</v>
      </c>
      <c r="I176" s="818"/>
      <c r="J176" s="819"/>
      <c r="K176" s="819"/>
      <c r="L176" s="1020"/>
      <c r="M176" s="518"/>
      <c r="N176" s="519">
        <f t="shared" si="114"/>
        <v>0</v>
      </c>
      <c r="O176" s="818"/>
      <c r="P176" s="819"/>
      <c r="Q176" s="820"/>
      <c r="R176" s="518"/>
      <c r="S176" s="530">
        <f t="shared" si="115"/>
        <v>0</v>
      </c>
      <c r="T176" s="531">
        <f t="shared" si="116"/>
        <v>0</v>
      </c>
      <c r="U176" s="818"/>
      <c r="V176" s="821"/>
      <c r="W176" s="821"/>
      <c r="X176" s="821"/>
      <c r="Y176" s="822"/>
      <c r="Z176" s="518"/>
      <c r="AA176" s="531">
        <f t="shared" si="117"/>
        <v>0</v>
      </c>
      <c r="AB176" s="825"/>
      <c r="AC176" s="821"/>
      <c r="AD176" s="822"/>
      <c r="AE176" s="518"/>
    </row>
    <row r="177" spans="1:32" s="521" customFormat="1" ht="12.75" thickBot="1">
      <c r="A177" s="586" t="s">
        <v>1163</v>
      </c>
      <c r="B177" s="886"/>
      <c r="C177" s="1385" t="s">
        <v>1115</v>
      </c>
      <c r="D177" s="1386"/>
      <c r="E177" s="1386"/>
      <c r="F177" s="1387"/>
      <c r="G177" s="538">
        <f>SUM(G172:G176)</f>
        <v>0</v>
      </c>
      <c r="H177" s="422">
        <f t="shared" ref="H177:R177" si="118">SUM(H172:H176)</f>
        <v>0</v>
      </c>
      <c r="I177" s="539">
        <f t="shared" si="118"/>
        <v>0</v>
      </c>
      <c r="J177" s="377">
        <f t="shared" si="118"/>
        <v>0</v>
      </c>
      <c r="K177" s="377">
        <f t="shared" si="118"/>
        <v>0</v>
      </c>
      <c r="L177" s="1035">
        <f t="shared" si="118"/>
        <v>0</v>
      </c>
      <c r="M177" s="538">
        <f>SUM(M172:M176)</f>
        <v>0</v>
      </c>
      <c r="N177" s="538">
        <f t="shared" si="118"/>
        <v>0</v>
      </c>
      <c r="O177" s="539">
        <f t="shared" si="118"/>
        <v>0</v>
      </c>
      <c r="P177" s="377">
        <f t="shared" si="118"/>
        <v>0</v>
      </c>
      <c r="Q177" s="364">
        <f t="shared" si="118"/>
        <v>0</v>
      </c>
      <c r="R177" s="538">
        <f t="shared" si="118"/>
        <v>0</v>
      </c>
      <c r="S177" s="538">
        <f>SUM(S172:S176)</f>
        <v>0</v>
      </c>
      <c r="T177" s="538">
        <f t="shared" ref="T177:AD177" si="119">SUM(T172:T176)</f>
        <v>0</v>
      </c>
      <c r="U177" s="539">
        <f t="shared" si="119"/>
        <v>0</v>
      </c>
      <c r="V177" s="377">
        <f t="shared" si="119"/>
        <v>0</v>
      </c>
      <c r="W177" s="377">
        <f t="shared" si="119"/>
        <v>0</v>
      </c>
      <c r="X177" s="377">
        <f t="shared" si="119"/>
        <v>0</v>
      </c>
      <c r="Y177" s="364">
        <f t="shared" si="119"/>
        <v>0</v>
      </c>
      <c r="Z177" s="538">
        <f t="shared" si="119"/>
        <v>0</v>
      </c>
      <c r="AA177" s="422">
        <f t="shared" si="119"/>
        <v>0</v>
      </c>
      <c r="AB177" s="539">
        <f t="shared" si="119"/>
        <v>0</v>
      </c>
      <c r="AC177" s="377">
        <f t="shared" si="119"/>
        <v>0</v>
      </c>
      <c r="AD177" s="364">
        <f t="shared" si="119"/>
        <v>0</v>
      </c>
      <c r="AE177" s="538">
        <f>SUM(AE172:AE176)</f>
        <v>0</v>
      </c>
    </row>
    <row r="178" spans="1:32" s="525" customFormat="1" ht="12.75" customHeight="1" thickBot="1">
      <c r="A178" s="592">
        <f>A176+1</f>
        <v>120</v>
      </c>
      <c r="B178" s="891">
        <v>32</v>
      </c>
      <c r="C178" s="366" t="s">
        <v>19</v>
      </c>
      <c r="D178" s="1030" t="s">
        <v>19</v>
      </c>
      <c r="E178" s="1031" t="s">
        <v>19</v>
      </c>
      <c r="F178" s="1032" t="s">
        <v>19</v>
      </c>
      <c r="G178" s="562">
        <f>+H178+M178+N178+R178</f>
        <v>0</v>
      </c>
      <c r="H178" s="430">
        <f>+I178+J178+K178+L178</f>
        <v>0</v>
      </c>
      <c r="I178" s="836"/>
      <c r="J178" s="833"/>
      <c r="K178" s="833"/>
      <c r="L178" s="1052"/>
      <c r="M178" s="562"/>
      <c r="N178" s="430">
        <f>+O178+P178+Q178</f>
        <v>0</v>
      </c>
      <c r="O178" s="836"/>
      <c r="P178" s="833"/>
      <c r="Q178" s="834"/>
      <c r="R178" s="562"/>
      <c r="S178" s="562">
        <f>+T178+Z178+AA178+AE178</f>
        <v>0</v>
      </c>
      <c r="T178" s="430">
        <f>+U178+V178+W178+X178+Y178</f>
        <v>0</v>
      </c>
      <c r="U178" s="836"/>
      <c r="V178" s="833"/>
      <c r="W178" s="833"/>
      <c r="X178" s="833"/>
      <c r="Y178" s="834"/>
      <c r="Z178" s="562"/>
      <c r="AA178" s="430">
        <f>+AB178+AC178+AD178</f>
        <v>0</v>
      </c>
      <c r="AB178" s="836"/>
      <c r="AC178" s="833"/>
      <c r="AD178" s="834"/>
      <c r="AE178" s="562"/>
    </row>
    <row r="179" spans="1:32" s="521" customFormat="1" ht="12.75" thickBot="1">
      <c r="A179" s="586" t="s">
        <v>1164</v>
      </c>
      <c r="B179" s="886"/>
      <c r="C179" s="1385" t="s">
        <v>1116</v>
      </c>
      <c r="D179" s="1386"/>
      <c r="E179" s="1386"/>
      <c r="F179" s="1387"/>
      <c r="G179" s="538">
        <f>SUM(G178)</f>
        <v>0</v>
      </c>
      <c r="H179" s="422">
        <f t="shared" ref="H179:R179" si="120">SUM(H178)</f>
        <v>0</v>
      </c>
      <c r="I179" s="539">
        <f t="shared" si="120"/>
        <v>0</v>
      </c>
      <c r="J179" s="377">
        <f t="shared" si="120"/>
        <v>0</v>
      </c>
      <c r="K179" s="377">
        <f t="shared" si="120"/>
        <v>0</v>
      </c>
      <c r="L179" s="1035">
        <f t="shared" si="120"/>
        <v>0</v>
      </c>
      <c r="M179" s="538">
        <f>SUM(M178)</f>
        <v>0</v>
      </c>
      <c r="N179" s="538">
        <f t="shared" si="120"/>
        <v>0</v>
      </c>
      <c r="O179" s="539">
        <f t="shared" si="120"/>
        <v>0</v>
      </c>
      <c r="P179" s="377">
        <f t="shared" si="120"/>
        <v>0</v>
      </c>
      <c r="Q179" s="364">
        <f t="shared" si="120"/>
        <v>0</v>
      </c>
      <c r="R179" s="538">
        <f t="shared" si="120"/>
        <v>0</v>
      </c>
      <c r="S179" s="538">
        <f>SUM(S178)</f>
        <v>0</v>
      </c>
      <c r="T179" s="538">
        <f t="shared" ref="T179:AD179" si="121">SUM(T178)</f>
        <v>0</v>
      </c>
      <c r="U179" s="539">
        <f t="shared" si="121"/>
        <v>0</v>
      </c>
      <c r="V179" s="377">
        <f t="shared" si="121"/>
        <v>0</v>
      </c>
      <c r="W179" s="377">
        <f t="shared" si="121"/>
        <v>0</v>
      </c>
      <c r="X179" s="377">
        <f t="shared" si="121"/>
        <v>0</v>
      </c>
      <c r="Y179" s="364">
        <f t="shared" si="121"/>
        <v>0</v>
      </c>
      <c r="Z179" s="538">
        <f t="shared" si="121"/>
        <v>0</v>
      </c>
      <c r="AA179" s="422">
        <f t="shared" si="121"/>
        <v>0</v>
      </c>
      <c r="AB179" s="539">
        <f t="shared" si="121"/>
        <v>0</v>
      </c>
      <c r="AC179" s="377">
        <f t="shared" si="121"/>
        <v>0</v>
      </c>
      <c r="AD179" s="364">
        <f t="shared" si="121"/>
        <v>0</v>
      </c>
      <c r="AE179" s="538">
        <f>SUM(AE178)</f>
        <v>0</v>
      </c>
    </row>
    <row r="180" spans="1:32" s="525" customFormat="1" ht="12.75" customHeight="1" thickBot="1">
      <c r="A180" s="592">
        <f>+A178+1</f>
        <v>121</v>
      </c>
      <c r="B180" s="891">
        <v>33</v>
      </c>
      <c r="C180" s="366" t="s">
        <v>19</v>
      </c>
      <c r="D180" s="1030" t="s">
        <v>19</v>
      </c>
      <c r="E180" s="1031" t="s">
        <v>19</v>
      </c>
      <c r="F180" s="1032" t="s">
        <v>19</v>
      </c>
      <c r="G180" s="562">
        <f>+H180+M180+N180+R180</f>
        <v>0</v>
      </c>
      <c r="H180" s="430">
        <f>+I180+J180+K180+L180</f>
        <v>0</v>
      </c>
      <c r="I180" s="836"/>
      <c r="J180" s="833"/>
      <c r="K180" s="833"/>
      <c r="L180" s="1052"/>
      <c r="M180" s="562"/>
      <c r="N180" s="430">
        <f>+O180+P180+Q180</f>
        <v>0</v>
      </c>
      <c r="O180" s="836"/>
      <c r="P180" s="833"/>
      <c r="Q180" s="834"/>
      <c r="R180" s="562"/>
      <c r="S180" s="562">
        <f>+T180+Z180+AA180+AE180</f>
        <v>0</v>
      </c>
      <c r="T180" s="430">
        <f>+U180+V180+W180+X180+Y180</f>
        <v>0</v>
      </c>
      <c r="U180" s="836"/>
      <c r="V180" s="833"/>
      <c r="W180" s="833"/>
      <c r="X180" s="833"/>
      <c r="Y180" s="834"/>
      <c r="Z180" s="562"/>
      <c r="AA180" s="430">
        <f>+AB180+AC180+AD180</f>
        <v>0</v>
      </c>
      <c r="AB180" s="836"/>
      <c r="AC180" s="833"/>
      <c r="AD180" s="834"/>
      <c r="AE180" s="562"/>
    </row>
    <row r="181" spans="1:32" s="521" customFormat="1" ht="12.75" thickBot="1">
      <c r="A181" s="586" t="s">
        <v>1165</v>
      </c>
      <c r="B181" s="886"/>
      <c r="C181" s="1385" t="s">
        <v>1117</v>
      </c>
      <c r="D181" s="1386"/>
      <c r="E181" s="1386"/>
      <c r="F181" s="1387"/>
      <c r="G181" s="538">
        <f>SUM(G180)</f>
        <v>0</v>
      </c>
      <c r="H181" s="422">
        <f t="shared" ref="H181:R181" si="122">SUM(H180)</f>
        <v>0</v>
      </c>
      <c r="I181" s="539">
        <f t="shared" si="122"/>
        <v>0</v>
      </c>
      <c r="J181" s="377">
        <f t="shared" si="122"/>
        <v>0</v>
      </c>
      <c r="K181" s="377">
        <f t="shared" si="122"/>
        <v>0</v>
      </c>
      <c r="L181" s="1035">
        <f t="shared" si="122"/>
        <v>0</v>
      </c>
      <c r="M181" s="538">
        <f>SUM(M180)</f>
        <v>0</v>
      </c>
      <c r="N181" s="538">
        <f t="shared" si="122"/>
        <v>0</v>
      </c>
      <c r="O181" s="539">
        <f t="shared" si="122"/>
        <v>0</v>
      </c>
      <c r="P181" s="377">
        <f t="shared" si="122"/>
        <v>0</v>
      </c>
      <c r="Q181" s="364">
        <f t="shared" si="122"/>
        <v>0</v>
      </c>
      <c r="R181" s="538">
        <f t="shared" si="122"/>
        <v>0</v>
      </c>
      <c r="S181" s="538">
        <f>SUM(S180)</f>
        <v>0</v>
      </c>
      <c r="T181" s="538">
        <f t="shared" ref="T181:AD181" si="123">SUM(T180)</f>
        <v>0</v>
      </c>
      <c r="U181" s="539">
        <f t="shared" si="123"/>
        <v>0</v>
      </c>
      <c r="V181" s="377">
        <f t="shared" si="123"/>
        <v>0</v>
      </c>
      <c r="W181" s="377">
        <f t="shared" si="123"/>
        <v>0</v>
      </c>
      <c r="X181" s="377">
        <f t="shared" si="123"/>
        <v>0</v>
      </c>
      <c r="Y181" s="364">
        <f t="shared" si="123"/>
        <v>0</v>
      </c>
      <c r="Z181" s="538">
        <f t="shared" si="123"/>
        <v>0</v>
      </c>
      <c r="AA181" s="422">
        <f t="shared" si="123"/>
        <v>0</v>
      </c>
      <c r="AB181" s="539">
        <f t="shared" si="123"/>
        <v>0</v>
      </c>
      <c r="AC181" s="377">
        <f t="shared" si="123"/>
        <v>0</v>
      </c>
      <c r="AD181" s="364">
        <f t="shared" si="123"/>
        <v>0</v>
      </c>
      <c r="AE181" s="538">
        <f>SUM(AE180)</f>
        <v>0</v>
      </c>
    </row>
    <row r="182" spans="1:32" s="521" customFormat="1" ht="12.75" thickBot="1">
      <c r="A182" s="587" t="s">
        <v>42</v>
      </c>
      <c r="B182" s="887"/>
      <c r="C182" s="1379" t="s">
        <v>1118</v>
      </c>
      <c r="D182" s="1380"/>
      <c r="E182" s="1380"/>
      <c r="F182" s="1381"/>
      <c r="G182" s="541">
        <f>+G177+G179+G181</f>
        <v>0</v>
      </c>
      <c r="H182" s="544">
        <f t="shared" ref="H182:R182" si="124">+H177+H179+H181</f>
        <v>0</v>
      </c>
      <c r="I182" s="558">
        <f t="shared" si="124"/>
        <v>0</v>
      </c>
      <c r="J182" s="559">
        <f t="shared" si="124"/>
        <v>0</v>
      </c>
      <c r="K182" s="559">
        <f t="shared" si="124"/>
        <v>0</v>
      </c>
      <c r="L182" s="1053">
        <f t="shared" si="124"/>
        <v>0</v>
      </c>
      <c r="M182" s="541">
        <f>+M177+M179+M181</f>
        <v>0</v>
      </c>
      <c r="N182" s="544">
        <f t="shared" si="124"/>
        <v>0</v>
      </c>
      <c r="O182" s="558">
        <f t="shared" si="124"/>
        <v>0</v>
      </c>
      <c r="P182" s="559">
        <f t="shared" si="124"/>
        <v>0</v>
      </c>
      <c r="Q182" s="560">
        <f t="shared" si="124"/>
        <v>0</v>
      </c>
      <c r="R182" s="541">
        <f t="shared" si="124"/>
        <v>0</v>
      </c>
      <c r="S182" s="541">
        <f>+S177+S179+S181</f>
        <v>0</v>
      </c>
      <c r="T182" s="579">
        <f t="shared" ref="T182:AD182" si="125">+T177+T179+T181</f>
        <v>0</v>
      </c>
      <c r="U182" s="542">
        <f t="shared" si="125"/>
        <v>0</v>
      </c>
      <c r="V182" s="543">
        <f t="shared" si="125"/>
        <v>0</v>
      </c>
      <c r="W182" s="543">
        <f t="shared" si="125"/>
        <v>0</v>
      </c>
      <c r="X182" s="543">
        <f t="shared" si="125"/>
        <v>0</v>
      </c>
      <c r="Y182" s="544">
        <f t="shared" si="125"/>
        <v>0</v>
      </c>
      <c r="Z182" s="541">
        <f t="shared" si="125"/>
        <v>0</v>
      </c>
      <c r="AA182" s="580">
        <f>+AA177+AA179+AA181</f>
        <v>0</v>
      </c>
      <c r="AB182" s="542">
        <f t="shared" si="125"/>
        <v>0</v>
      </c>
      <c r="AC182" s="543">
        <f t="shared" si="125"/>
        <v>0</v>
      </c>
      <c r="AD182" s="544">
        <f t="shared" si="125"/>
        <v>0</v>
      </c>
      <c r="AE182" s="541">
        <f>+AE177+AE179+AE181</f>
        <v>0</v>
      </c>
    </row>
    <row r="183" spans="1:32" ht="12.75" thickBot="1">
      <c r="A183" s="592"/>
      <c r="B183" s="891"/>
      <c r="C183" s="451"/>
      <c r="D183" s="583"/>
      <c r="E183" s="1050"/>
      <c r="F183" s="561"/>
      <c r="G183" s="562"/>
      <c r="H183" s="430"/>
      <c r="I183" s="533"/>
      <c r="J183" s="532"/>
      <c r="K183" s="532"/>
      <c r="L183" s="1054"/>
      <c r="M183" s="562"/>
      <c r="N183" s="430"/>
      <c r="O183" s="533"/>
      <c r="P183" s="532"/>
      <c r="Q183" s="453"/>
      <c r="R183" s="562"/>
      <c r="S183" s="562"/>
      <c r="T183" s="430"/>
      <c r="U183" s="533"/>
      <c r="V183" s="532"/>
      <c r="W183" s="532"/>
      <c r="X183" s="532"/>
      <c r="Y183" s="453"/>
      <c r="Z183" s="562"/>
      <c r="AA183" s="430"/>
      <c r="AB183" s="533"/>
      <c r="AC183" s="532"/>
      <c r="AD183" s="453"/>
      <c r="AE183" s="562"/>
    </row>
    <row r="184" spans="1:32" ht="12.75" thickBot="1">
      <c r="A184" s="587" t="s">
        <v>41</v>
      </c>
      <c r="B184" s="887"/>
      <c r="C184" s="1379" t="s">
        <v>1509</v>
      </c>
      <c r="D184" s="1380"/>
      <c r="E184" s="1380"/>
      <c r="F184" s="1381"/>
      <c r="G184" s="563">
        <f t="shared" ref="G184:AE184" si="126">+G108+G129+G144+G159+G170+G182</f>
        <v>908062</v>
      </c>
      <c r="H184" s="564">
        <f t="shared" si="126"/>
        <v>12100</v>
      </c>
      <c r="I184" s="565">
        <f t="shared" si="126"/>
        <v>12100</v>
      </c>
      <c r="J184" s="566">
        <f t="shared" si="126"/>
        <v>0</v>
      </c>
      <c r="K184" s="566">
        <f t="shared" si="126"/>
        <v>0</v>
      </c>
      <c r="L184" s="1055">
        <f t="shared" si="126"/>
        <v>0</v>
      </c>
      <c r="M184" s="563">
        <f t="shared" si="126"/>
        <v>523464</v>
      </c>
      <c r="N184" s="564">
        <f t="shared" si="126"/>
        <v>362499</v>
      </c>
      <c r="O184" s="565">
        <f t="shared" si="126"/>
        <v>352499</v>
      </c>
      <c r="P184" s="566">
        <f t="shared" si="126"/>
        <v>10000</v>
      </c>
      <c r="Q184" s="564">
        <f t="shared" si="126"/>
        <v>0</v>
      </c>
      <c r="R184" s="563">
        <f t="shared" si="126"/>
        <v>9999</v>
      </c>
      <c r="S184" s="563">
        <f t="shared" si="126"/>
        <v>794104</v>
      </c>
      <c r="T184" s="564">
        <f t="shared" si="126"/>
        <v>501500</v>
      </c>
      <c r="U184" s="565">
        <f t="shared" si="126"/>
        <v>-14400</v>
      </c>
      <c r="V184" s="566">
        <f t="shared" si="126"/>
        <v>-2586</v>
      </c>
      <c r="W184" s="566">
        <f t="shared" si="126"/>
        <v>3444</v>
      </c>
      <c r="X184" s="566">
        <f t="shared" si="126"/>
        <v>0</v>
      </c>
      <c r="Y184" s="564">
        <f t="shared" si="126"/>
        <v>515042</v>
      </c>
      <c r="Z184" s="563">
        <f t="shared" si="126"/>
        <v>0</v>
      </c>
      <c r="AA184" s="564">
        <f t="shared" si="126"/>
        <v>292604</v>
      </c>
      <c r="AB184" s="565">
        <f t="shared" si="126"/>
        <v>321604</v>
      </c>
      <c r="AC184" s="566">
        <f t="shared" si="126"/>
        <v>-29000</v>
      </c>
      <c r="AD184" s="564">
        <f t="shared" si="126"/>
        <v>0</v>
      </c>
      <c r="AE184" s="563">
        <f t="shared" si="126"/>
        <v>0</v>
      </c>
    </row>
    <row r="185" spans="1:32" ht="12.75" thickBot="1">
      <c r="S185" s="523"/>
      <c r="T185" s="523"/>
    </row>
    <row r="186" spans="1:32" ht="13.5" thickBot="1">
      <c r="F186" s="1056" t="s">
        <v>1510</v>
      </c>
      <c r="G186" s="1057" t="s">
        <v>1511</v>
      </c>
      <c r="H186" s="1058" t="s">
        <v>1512</v>
      </c>
      <c r="I186" s="1059" t="s">
        <v>1513</v>
      </c>
    </row>
    <row r="187" spans="1:32" ht="14.25" thickBot="1">
      <c r="F187" s="1060" t="s">
        <v>1514</v>
      </c>
      <c r="G187" s="1061">
        <f>SUM(G188:G189)</f>
        <v>248803</v>
      </c>
      <c r="H187" s="1062">
        <f>SUM(H188:H189)</f>
        <v>-113958</v>
      </c>
      <c r="I187" s="1063">
        <f>SUM(I188:I189)</f>
        <v>134845</v>
      </c>
    </row>
    <row r="188" spans="1:32">
      <c r="E188" s="373"/>
      <c r="F188" s="1064" t="s">
        <v>1515</v>
      </c>
      <c r="G188" s="1065">
        <f>--73283</f>
        <v>73283</v>
      </c>
      <c r="H188" s="1066">
        <f>-H184-M184+T184+Z184</f>
        <v>-34064</v>
      </c>
      <c r="I188" s="1067">
        <f>+G188+H188</f>
        <v>39219</v>
      </c>
    </row>
    <row r="189" spans="1:32" ht="12.75" thickBot="1">
      <c r="E189" s="373"/>
      <c r="F189" s="1068" t="s">
        <v>1516</v>
      </c>
      <c r="G189" s="1069">
        <f>--175520</f>
        <v>175520</v>
      </c>
      <c r="H189" s="1070">
        <f>+AA184+AE184-N184-R184</f>
        <v>-79894</v>
      </c>
      <c r="I189" s="1071">
        <f>+G189+H189</f>
        <v>95626</v>
      </c>
    </row>
    <row r="190" spans="1:32">
      <c r="E190" s="373"/>
      <c r="F190" s="1072" t="s">
        <v>1517</v>
      </c>
      <c r="G190" s="1073"/>
      <c r="H190" s="1074"/>
      <c r="I190" s="1073"/>
      <c r="J190" s="1073"/>
      <c r="M190" s="306"/>
      <c r="O190" s="521"/>
      <c r="R190" s="306"/>
      <c r="S190" s="521"/>
      <c r="Z190" s="306"/>
      <c r="AA190" s="521"/>
      <c r="AE190" s="306"/>
      <c r="AF190" s="521"/>
    </row>
    <row r="191" spans="1:32">
      <c r="E191" s="1075">
        <v>1</v>
      </c>
      <c r="F191" s="1076" t="s">
        <v>1518</v>
      </c>
      <c r="G191" s="306"/>
      <c r="H191" s="1091">
        <v>-10000</v>
      </c>
      <c r="I191" s="1077"/>
      <c r="J191" s="523"/>
      <c r="M191" s="306"/>
      <c r="O191" s="521"/>
      <c r="R191" s="306"/>
      <c r="S191" s="521"/>
      <c r="Z191" s="306"/>
      <c r="AA191" s="521"/>
      <c r="AE191" s="306"/>
      <c r="AF191" s="521"/>
    </row>
    <row r="192" spans="1:32">
      <c r="E192" s="1075">
        <f>+E191+1</f>
        <v>2</v>
      </c>
      <c r="F192" s="306" t="s">
        <v>1519</v>
      </c>
      <c r="H192" s="1079">
        <v>-9999</v>
      </c>
      <c r="I192" s="1078"/>
      <c r="M192" s="306"/>
      <c r="O192" s="521"/>
      <c r="R192" s="306"/>
      <c r="S192" s="521"/>
      <c r="Z192" s="306"/>
      <c r="AA192" s="521"/>
      <c r="AE192" s="306"/>
      <c r="AF192" s="521"/>
    </row>
    <row r="193" spans="5:32" ht="24">
      <c r="E193" s="1075">
        <f t="shared" ref="E193:E206" si="127">+E192+1</f>
        <v>3</v>
      </c>
      <c r="F193" s="306" t="s">
        <v>1534</v>
      </c>
      <c r="G193" s="306"/>
      <c r="H193" s="1079">
        <v>-6500</v>
      </c>
      <c r="I193" s="1078"/>
      <c r="M193" s="306"/>
      <c r="O193" s="521"/>
      <c r="R193" s="306"/>
      <c r="S193" s="521"/>
      <c r="Z193" s="306"/>
      <c r="AA193" s="521"/>
      <c r="AE193" s="306"/>
      <c r="AF193" s="521"/>
    </row>
    <row r="194" spans="5:32" ht="24">
      <c r="E194" s="1075">
        <f t="shared" si="127"/>
        <v>4</v>
      </c>
      <c r="F194" s="306" t="s">
        <v>1535</v>
      </c>
      <c r="G194" s="306"/>
      <c r="H194" s="1079">
        <v>-29000</v>
      </c>
      <c r="I194" s="1078"/>
      <c r="M194" s="306"/>
      <c r="O194" s="521"/>
      <c r="R194" s="306"/>
      <c r="S194" s="521"/>
      <c r="Z194" s="306"/>
      <c r="AA194" s="521"/>
      <c r="AE194" s="306"/>
      <c r="AF194" s="521"/>
    </row>
    <row r="195" spans="5:32" ht="24">
      <c r="E195" s="1075">
        <f t="shared" si="127"/>
        <v>5</v>
      </c>
      <c r="F195" s="306" t="s">
        <v>1520</v>
      </c>
      <c r="G195" s="306"/>
      <c r="H195" s="1079">
        <v>-9000</v>
      </c>
      <c r="I195" s="1078"/>
      <c r="M195" s="306"/>
      <c r="O195" s="521"/>
      <c r="R195" s="306"/>
      <c r="S195" s="521"/>
      <c r="Z195" s="306"/>
      <c r="AA195" s="521"/>
      <c r="AE195" s="306"/>
      <c r="AF195" s="521"/>
    </row>
    <row r="196" spans="5:32">
      <c r="E196" s="1075">
        <f t="shared" si="127"/>
        <v>6</v>
      </c>
      <c r="F196" s="306" t="s">
        <v>1521</v>
      </c>
      <c r="G196" s="306"/>
      <c r="H196" s="1079">
        <v>-6000</v>
      </c>
      <c r="I196" s="1078"/>
      <c r="M196" s="306"/>
      <c r="O196" s="521"/>
      <c r="R196" s="306"/>
      <c r="S196" s="521"/>
      <c r="Z196" s="306"/>
      <c r="AA196" s="521"/>
      <c r="AE196" s="306"/>
      <c r="AF196" s="521"/>
    </row>
    <row r="197" spans="5:32">
      <c r="E197" s="1075">
        <f t="shared" si="127"/>
        <v>7</v>
      </c>
      <c r="F197" s="306" t="s">
        <v>1540</v>
      </c>
      <c r="H197" s="1079">
        <f>350000-350000</f>
        <v>0</v>
      </c>
      <c r="M197" s="306"/>
      <c r="O197" s="521"/>
      <c r="R197" s="306"/>
      <c r="S197" s="521"/>
      <c r="Z197" s="306"/>
      <c r="AA197" s="521"/>
      <c r="AE197" s="306"/>
      <c r="AF197" s="521"/>
    </row>
    <row r="198" spans="5:32">
      <c r="E198" s="1075">
        <f t="shared" si="127"/>
        <v>8</v>
      </c>
      <c r="F198" s="306" t="s">
        <v>1539</v>
      </c>
      <c r="H198" s="1079">
        <f>8900-8900</f>
        <v>0</v>
      </c>
      <c r="M198" s="306"/>
      <c r="O198" s="521"/>
      <c r="R198" s="306"/>
      <c r="S198" s="521"/>
      <c r="Z198" s="306"/>
      <c r="AA198" s="521"/>
      <c r="AE198" s="306"/>
      <c r="AF198" s="521"/>
    </row>
    <row r="199" spans="5:32">
      <c r="E199" s="1075">
        <f t="shared" si="127"/>
        <v>9</v>
      </c>
      <c r="F199" s="306" t="s">
        <v>1522</v>
      </c>
      <c r="H199" s="1079">
        <f>-500+1150+200+300-1650</f>
        <v>-500</v>
      </c>
      <c r="M199" s="306"/>
      <c r="O199" s="521"/>
      <c r="R199" s="306"/>
      <c r="S199" s="521"/>
      <c r="Z199" s="306"/>
      <c r="AA199" s="521"/>
      <c r="AE199" s="306"/>
      <c r="AF199" s="521"/>
    </row>
    <row r="200" spans="5:32">
      <c r="E200" s="1075">
        <f t="shared" si="127"/>
        <v>10</v>
      </c>
      <c r="F200" s="306" t="s">
        <v>1523</v>
      </c>
      <c r="H200" s="1079">
        <f>-1000-2000-1000+885-2499-1200</f>
        <v>-6814</v>
      </c>
      <c r="M200" s="306"/>
      <c r="O200" s="521"/>
      <c r="R200" s="306"/>
      <c r="S200" s="521"/>
      <c r="Z200" s="306"/>
      <c r="AA200" s="521"/>
      <c r="AE200" s="306"/>
      <c r="AF200" s="521"/>
    </row>
    <row r="201" spans="5:32">
      <c r="E201" s="1075">
        <f t="shared" si="127"/>
        <v>11</v>
      </c>
      <c r="F201" s="306" t="s">
        <v>1524</v>
      </c>
      <c r="G201" s="306"/>
      <c r="H201" s="1079">
        <f>-14725-2716+2777+541</f>
        <v>-14123</v>
      </c>
      <c r="I201" s="1078"/>
      <c r="M201" s="306"/>
      <c r="O201" s="521"/>
      <c r="R201" s="306"/>
      <c r="S201" s="521"/>
      <c r="Z201" s="306"/>
      <c r="AA201" s="521"/>
      <c r="AE201" s="306"/>
      <c r="AF201" s="521"/>
    </row>
    <row r="202" spans="5:32">
      <c r="E202" s="1075">
        <f t="shared" si="127"/>
        <v>12</v>
      </c>
      <c r="F202" s="306" t="s">
        <v>1525</v>
      </c>
      <c r="G202" s="373"/>
      <c r="H202" s="1079">
        <f>-866-169-345-708-138-120-23-1456-800</f>
        <v>-4625</v>
      </c>
      <c r="I202" s="1078"/>
      <c r="M202" s="306"/>
      <c r="O202" s="521"/>
      <c r="R202" s="306"/>
      <c r="S202" s="521"/>
      <c r="Z202" s="306"/>
      <c r="AA202" s="521"/>
      <c r="AE202" s="306"/>
      <c r="AF202" s="521"/>
    </row>
    <row r="203" spans="5:32">
      <c r="E203" s="1075">
        <f t="shared" si="127"/>
        <v>13</v>
      </c>
      <c r="F203" s="306" t="s">
        <v>1526</v>
      </c>
      <c r="G203" s="373"/>
      <c r="H203" s="1079">
        <f>-4096-413-81</f>
        <v>-4590</v>
      </c>
      <c r="I203" s="1078"/>
      <c r="M203" s="306"/>
      <c r="O203" s="521"/>
      <c r="R203" s="306"/>
      <c r="S203" s="521"/>
      <c r="Z203" s="306"/>
      <c r="AA203" s="521"/>
      <c r="AE203" s="306"/>
      <c r="AF203" s="521"/>
    </row>
    <row r="204" spans="5:32">
      <c r="E204" s="1075">
        <f t="shared" si="127"/>
        <v>14</v>
      </c>
      <c r="F204" s="306" t="s">
        <v>1533</v>
      </c>
      <c r="G204" s="373"/>
      <c r="H204" s="1079">
        <v>-2000</v>
      </c>
      <c r="I204" s="1078"/>
      <c r="M204" s="306"/>
      <c r="O204" s="521"/>
      <c r="R204" s="306"/>
      <c r="S204" s="521"/>
      <c r="Z204" s="306"/>
      <c r="AA204" s="521"/>
      <c r="AE204" s="306"/>
      <c r="AF204" s="521"/>
    </row>
    <row r="205" spans="5:32">
      <c r="E205" s="1075">
        <f t="shared" si="127"/>
        <v>15</v>
      </c>
      <c r="F205" s="306" t="s">
        <v>1527</v>
      </c>
      <c r="G205" s="373"/>
      <c r="H205" s="1079">
        <f>-2000+2000</f>
        <v>0</v>
      </c>
      <c r="I205" s="1078"/>
      <c r="M205" s="306"/>
      <c r="O205" s="521"/>
      <c r="R205" s="306"/>
      <c r="S205" s="521"/>
      <c r="Z205" s="306"/>
      <c r="AA205" s="521"/>
      <c r="AE205" s="306"/>
      <c r="AF205" s="521"/>
    </row>
    <row r="206" spans="5:32">
      <c r="E206" s="1075">
        <f t="shared" si="127"/>
        <v>16</v>
      </c>
      <c r="F206" s="306" t="s">
        <v>1537</v>
      </c>
      <c r="G206" s="373"/>
      <c r="H206" s="1079">
        <f>-523464+523464-8000-2000-2000+1000+(50+120+23)</f>
        <v>-10807</v>
      </c>
      <c r="I206" s="1078"/>
      <c r="M206" s="306"/>
      <c r="O206" s="521"/>
      <c r="R206" s="306"/>
      <c r="S206" s="521"/>
      <c r="Z206" s="306"/>
      <c r="AA206" s="521"/>
      <c r="AE206" s="306"/>
      <c r="AF206" s="521"/>
    </row>
    <row r="207" spans="5:32">
      <c r="F207" s="521" t="s">
        <v>1528</v>
      </c>
      <c r="H207" s="522">
        <f>SUM(H191:H206)</f>
        <v>-113958</v>
      </c>
      <c r="M207" s="306"/>
      <c r="N207" s="306"/>
      <c r="R207" s="306"/>
      <c r="S207" s="521"/>
      <c r="Z207" s="306"/>
      <c r="AA207" s="521"/>
      <c r="AE207" s="306"/>
      <c r="AF207" s="521"/>
    </row>
    <row r="208" spans="5:32">
      <c r="M208" s="306"/>
      <c r="O208" s="521"/>
      <c r="R208" s="306"/>
      <c r="S208" s="521"/>
      <c r="Z208" s="306"/>
      <c r="AA208" s="521"/>
      <c r="AE208" s="306"/>
      <c r="AF208" s="521"/>
    </row>
  </sheetData>
  <mergeCells count="74">
    <mergeCell ref="A2:AE2"/>
    <mergeCell ref="A3:AE3"/>
    <mergeCell ref="A5:A7"/>
    <mergeCell ref="B5:B7"/>
    <mergeCell ref="C5:C7"/>
    <mergeCell ref="D5:D7"/>
    <mergeCell ref="E5:E7"/>
    <mergeCell ref="F5:F7"/>
    <mergeCell ref="G5:R5"/>
    <mergeCell ref="S5:AE5"/>
    <mergeCell ref="AB6:AD6"/>
    <mergeCell ref="AE6:AE7"/>
    <mergeCell ref="R6:R7"/>
    <mergeCell ref="S6:S7"/>
    <mergeCell ref="T6:T7"/>
    <mergeCell ref="U6:Y6"/>
    <mergeCell ref="Z6:Z7"/>
    <mergeCell ref="AA6:AA7"/>
    <mergeCell ref="G6:G7"/>
    <mergeCell ref="H6:H7"/>
    <mergeCell ref="I6:L6"/>
    <mergeCell ref="M6:M7"/>
    <mergeCell ref="N6:N7"/>
    <mergeCell ref="O6:Q6"/>
    <mergeCell ref="A25:F25"/>
    <mergeCell ref="A37:F37"/>
    <mergeCell ref="A45:F45"/>
    <mergeCell ref="A11:F11"/>
    <mergeCell ref="A14:F14"/>
    <mergeCell ref="A23:F23"/>
    <mergeCell ref="C108:F108"/>
    <mergeCell ref="A111:F111"/>
    <mergeCell ref="C107:F107"/>
    <mergeCell ref="A43:F43"/>
    <mergeCell ref="A36:F36"/>
    <mergeCell ref="A46:F46"/>
    <mergeCell ref="A47:F47"/>
    <mergeCell ref="A48:F48"/>
    <mergeCell ref="A63:F63"/>
    <mergeCell ref="A100:F100"/>
    <mergeCell ref="A69:F69"/>
    <mergeCell ref="A95:F95"/>
    <mergeCell ref="C96:F96"/>
    <mergeCell ref="A102:F102"/>
    <mergeCell ref="C105:F105"/>
    <mergeCell ref="A152:F152"/>
    <mergeCell ref="C116:F116"/>
    <mergeCell ref="C120:F120"/>
    <mergeCell ref="C128:F128"/>
    <mergeCell ref="C129:F129"/>
    <mergeCell ref="C144:F144"/>
    <mergeCell ref="A148:F148"/>
    <mergeCell ref="A150:F150"/>
    <mergeCell ref="A132:F132"/>
    <mergeCell ref="A136:F136"/>
    <mergeCell ref="C139:F139"/>
    <mergeCell ref="C141:F141"/>
    <mergeCell ref="C143:F143"/>
    <mergeCell ref="C182:F182"/>
    <mergeCell ref="C184:F184"/>
    <mergeCell ref="A10:F10"/>
    <mergeCell ref="C170:F170"/>
    <mergeCell ref="C177:F177"/>
    <mergeCell ref="C179:F179"/>
    <mergeCell ref="C181:F181"/>
    <mergeCell ref="A164:F164"/>
    <mergeCell ref="A166:F166"/>
    <mergeCell ref="C167:F167"/>
    <mergeCell ref="C169:F169"/>
    <mergeCell ref="C154:F154"/>
    <mergeCell ref="C156:F156"/>
    <mergeCell ref="C158:F158"/>
    <mergeCell ref="C159:F159"/>
    <mergeCell ref="C162:F162"/>
  </mergeCells>
  <printOptions horizontalCentered="1"/>
  <pageMargins left="0.39370078740157483" right="0.39370078740157483" top="0.39370078740157483" bottom="0.39370078740157483" header="0.19685039370078741" footer="0.19685039370078741"/>
  <pageSetup paperSize="8" scale="43" fitToHeight="2" orientation="landscape" r:id="rId1"/>
  <headerFooter alignWithMargins="0">
    <oddHeader xml:space="preserve">&amp;C&amp;"Times New Roman CE,Félkövér"&amp;14 13. melléklet - &amp;P. oldal
&amp;R&amp;"Times New Roman CE,Dőlt"&amp;12
</oddHeader>
  </headerFooter>
  <rowBreaks count="1" manualBreakCount="1">
    <brk id="129" max="30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>
    <tabColor rgb="FF00B0F0"/>
    <pageSetUpPr fitToPage="1"/>
  </sheetPr>
  <dimension ref="A1:K35"/>
  <sheetViews>
    <sheetView zoomScaleNormal="100" workbookViewId="0"/>
  </sheetViews>
  <sheetFormatPr defaultRowHeight="12"/>
  <cols>
    <col min="1" max="1" width="6.5703125" style="4" customWidth="1"/>
    <col min="2" max="2" width="70.42578125" style="4" customWidth="1"/>
    <col min="3" max="6" width="9.28515625" style="4" customWidth="1"/>
    <col min="7" max="7" width="60" style="4" customWidth="1"/>
    <col min="8" max="11" width="9.28515625" style="4" customWidth="1"/>
    <col min="12" max="16384" width="9.140625" style="4"/>
  </cols>
  <sheetData>
    <row r="1" spans="1:11" s="63" customFormat="1" ht="15.75">
      <c r="K1" s="64" t="s">
        <v>388</v>
      </c>
    </row>
    <row r="2" spans="1:11" s="63" customFormat="1" ht="15.75"/>
    <row r="3" spans="1:11" s="65" customFormat="1" ht="15.75">
      <c r="A3" s="1433" t="s">
        <v>331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</row>
    <row r="4" spans="1:11" s="65" customFormat="1" ht="15.75">
      <c r="A4" s="1433" t="s">
        <v>1320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</row>
    <row r="5" spans="1:11" s="46" customFormat="1" ht="12.75" thickBot="1">
      <c r="A5" s="48"/>
      <c r="K5" s="47" t="s">
        <v>281</v>
      </c>
    </row>
    <row r="6" spans="1:11" s="9" customFormat="1" ht="54" customHeight="1" thickBot="1">
      <c r="A6" s="95" t="s">
        <v>17</v>
      </c>
      <c r="B6" s="109" t="s">
        <v>328</v>
      </c>
      <c r="C6" s="156" t="s">
        <v>1317</v>
      </c>
      <c r="D6" s="155" t="s">
        <v>51</v>
      </c>
      <c r="E6" s="154" t="s">
        <v>52</v>
      </c>
      <c r="F6" s="153" t="s">
        <v>53</v>
      </c>
      <c r="G6" s="96" t="s">
        <v>329</v>
      </c>
      <c r="H6" s="95" t="s">
        <v>1317</v>
      </c>
      <c r="I6" s="155" t="s">
        <v>51</v>
      </c>
      <c r="J6" s="154" t="s">
        <v>52</v>
      </c>
      <c r="K6" s="153" t="s">
        <v>53</v>
      </c>
    </row>
    <row r="7" spans="1:11" s="3" customFormat="1" ht="12.75" thickBot="1">
      <c r="A7" s="99" t="s">
        <v>253</v>
      </c>
      <c r="B7" s="110" t="s">
        <v>254</v>
      </c>
      <c r="C7" s="1451" t="s">
        <v>255</v>
      </c>
      <c r="D7" s="1452"/>
      <c r="E7" s="1452"/>
      <c r="F7" s="1453"/>
      <c r="G7" s="98" t="s">
        <v>361</v>
      </c>
      <c r="H7" s="1454" t="s">
        <v>362</v>
      </c>
      <c r="I7" s="1455"/>
      <c r="J7" s="1455"/>
      <c r="K7" s="1456"/>
    </row>
    <row r="8" spans="1:11" s="3" customFormat="1" ht="12.75" thickBot="1">
      <c r="A8" s="111" t="s">
        <v>4</v>
      </c>
      <c r="B8" s="79" t="s">
        <v>371</v>
      </c>
      <c r="C8" s="43">
        <f>+C9+C11+C13+C15</f>
        <v>1485199</v>
      </c>
      <c r="D8" s="38">
        <f>+D9+D11+D13+D15</f>
        <v>1440539</v>
      </c>
      <c r="E8" s="39">
        <f>+E9+E11+E13+E15</f>
        <v>44660</v>
      </c>
      <c r="F8" s="40">
        <f>+F9+F11+F13+F15</f>
        <v>0</v>
      </c>
      <c r="G8" s="85" t="s">
        <v>372</v>
      </c>
      <c r="H8" s="44">
        <f>+H9+H11+H13+H15+H16</f>
        <v>4110574</v>
      </c>
      <c r="I8" s="33">
        <f>+I9+I11+I13+I15+I16</f>
        <v>4049788</v>
      </c>
      <c r="J8" s="34">
        <f>+J9+J11+J13+J15+J16</f>
        <v>60786</v>
      </c>
      <c r="K8" s="35">
        <f>+K9+K11+K13+K15+K16</f>
        <v>0</v>
      </c>
    </row>
    <row r="9" spans="1:11" ht="12.75" customHeight="1">
      <c r="A9" s="149" t="s">
        <v>5</v>
      </c>
      <c r="B9" s="144" t="s">
        <v>374</v>
      </c>
      <c r="C9" s="22">
        <f>+D9+E9+F9</f>
        <v>962806</v>
      </c>
      <c r="D9" s="62">
        <f>+'1.mell._Össz_Mérleg2019'!D11</f>
        <v>959566</v>
      </c>
      <c r="E9" s="60">
        <f>+'1.mell._Össz_Mérleg2019'!E11</f>
        <v>3240</v>
      </c>
      <c r="F9" s="61">
        <f>+'1.mell._Össz_Mérleg2019'!F11</f>
        <v>0</v>
      </c>
      <c r="G9" s="150" t="s">
        <v>379</v>
      </c>
      <c r="H9" s="22">
        <f>+I9+J9+K9</f>
        <v>655870</v>
      </c>
      <c r="I9" s="62">
        <f>+'1.mell._Össz_Mérleg2019'!D110</f>
        <v>632670</v>
      </c>
      <c r="J9" s="60">
        <f>+'1.mell._Össz_Mérleg2019'!E110</f>
        <v>23200</v>
      </c>
      <c r="K9" s="61">
        <f>+'1.mell._Össz_Mérleg2019'!F110</f>
        <v>0</v>
      </c>
    </row>
    <row r="10" spans="1:11" s="14" customFormat="1" ht="24">
      <c r="A10" s="102" t="s">
        <v>349</v>
      </c>
      <c r="B10" s="161" t="s">
        <v>333</v>
      </c>
      <c r="C10" s="24">
        <f t="shared" ref="C10:C17" si="0">+D10+E10+F10</f>
        <v>0</v>
      </c>
      <c r="D10" s="20">
        <f>+'1.mell._Össz_Mérleg2019'!D24</f>
        <v>0</v>
      </c>
      <c r="E10" s="13">
        <f>+'1.mell._Össz_Mérleg2019'!E24</f>
        <v>0</v>
      </c>
      <c r="F10" s="16">
        <f>+'1.mell._Össz_Mérleg2019'!F24</f>
        <v>0</v>
      </c>
      <c r="G10" s="163" t="s">
        <v>350</v>
      </c>
      <c r="H10" s="24">
        <f t="shared" ref="H10:H17" si="1">+I10+J10+K10</f>
        <v>0</v>
      </c>
      <c r="I10" s="20">
        <f>+'1.mell._Össz_Mérleg2019'!D111</f>
        <v>0</v>
      </c>
      <c r="J10" s="13">
        <f>+'1.mell._Össz_Mérleg2019'!E111</f>
        <v>0</v>
      </c>
      <c r="K10" s="16">
        <f>+'1.mell._Össz_Mérleg2019'!F111</f>
        <v>0</v>
      </c>
    </row>
    <row r="11" spans="1:11" ht="12.75" customHeight="1">
      <c r="A11" s="101" t="s">
        <v>6</v>
      </c>
      <c r="B11" s="151" t="s">
        <v>375</v>
      </c>
      <c r="C11" s="23">
        <f t="shared" si="0"/>
        <v>384050</v>
      </c>
      <c r="D11" s="21">
        <f>+'1.mell._Össz_Mérleg2019'!D25</f>
        <v>371480</v>
      </c>
      <c r="E11" s="12">
        <f>+'1.mell._Össz_Mérleg2019'!E25</f>
        <v>12570</v>
      </c>
      <c r="F11" s="17">
        <f>+'1.mell._Össz_Mérleg2019'!F25</f>
        <v>0</v>
      </c>
      <c r="G11" s="152" t="s">
        <v>373</v>
      </c>
      <c r="H11" s="23">
        <f t="shared" si="1"/>
        <v>131505</v>
      </c>
      <c r="I11" s="21">
        <f>+'1.mell._Össz_Mérleg2019'!D114</f>
        <v>127343</v>
      </c>
      <c r="J11" s="12">
        <f>+'1.mell._Össz_Mérleg2019'!E114</f>
        <v>4162</v>
      </c>
      <c r="K11" s="17">
        <f>+'1.mell._Össz_Mérleg2019'!F114</f>
        <v>0</v>
      </c>
    </row>
    <row r="12" spans="1:11" s="14" customFormat="1" ht="24">
      <c r="A12" s="102" t="s">
        <v>346</v>
      </c>
      <c r="B12" s="146"/>
      <c r="C12" s="24">
        <f t="shared" si="0"/>
        <v>0</v>
      </c>
      <c r="D12" s="20"/>
      <c r="E12" s="13"/>
      <c r="F12" s="16"/>
      <c r="G12" s="163" t="s">
        <v>347</v>
      </c>
      <c r="H12" s="24">
        <f t="shared" si="1"/>
        <v>0</v>
      </c>
      <c r="I12" s="20">
        <f>+'1.mell._Össz_Mérleg2019'!D115</f>
        <v>0</v>
      </c>
      <c r="J12" s="13">
        <f>+'1.mell._Össz_Mérleg2019'!E115</f>
        <v>0</v>
      </c>
      <c r="K12" s="16">
        <f>+'1.mell._Össz_Mérleg2019'!F115</f>
        <v>0</v>
      </c>
    </row>
    <row r="13" spans="1:11">
      <c r="A13" s="101" t="s">
        <v>3</v>
      </c>
      <c r="B13" s="151" t="s">
        <v>376</v>
      </c>
      <c r="C13" s="23">
        <f t="shared" si="0"/>
        <v>132543</v>
      </c>
      <c r="D13" s="21">
        <f>+'1.mell._Össz_Mérleg2019'!D32</f>
        <v>103693</v>
      </c>
      <c r="E13" s="12">
        <f>+'1.mell._Össz_Mérleg2019'!E32</f>
        <v>28850</v>
      </c>
      <c r="F13" s="17">
        <f>+'1.mell._Össz_Mérleg2019'!F32</f>
        <v>0</v>
      </c>
      <c r="G13" s="152" t="s">
        <v>380</v>
      </c>
      <c r="H13" s="23">
        <f t="shared" si="1"/>
        <v>391454</v>
      </c>
      <c r="I13" s="21">
        <f>+'1.mell._Össz_Mérleg2019'!D116</f>
        <v>367358</v>
      </c>
      <c r="J13" s="12">
        <f>+'1.mell._Össz_Mérleg2019'!E116</f>
        <v>24096</v>
      </c>
      <c r="K13" s="17">
        <f>+'1.mell._Össz_Mérleg2019'!F116</f>
        <v>0</v>
      </c>
    </row>
    <row r="14" spans="1:11" s="14" customFormat="1" ht="24">
      <c r="A14" s="102" t="s">
        <v>341</v>
      </c>
      <c r="B14" s="147"/>
      <c r="C14" s="24">
        <f t="shared" si="0"/>
        <v>0</v>
      </c>
      <c r="D14" s="20"/>
      <c r="E14" s="13"/>
      <c r="F14" s="16"/>
      <c r="G14" s="163" t="s">
        <v>348</v>
      </c>
      <c r="H14" s="24">
        <f t="shared" si="1"/>
        <v>0</v>
      </c>
      <c r="I14" s="20">
        <f>+'1.mell._Össz_Mérleg2019'!D117</f>
        <v>0</v>
      </c>
      <c r="J14" s="13">
        <f>+'1.mell._Össz_Mérleg2019'!E117</f>
        <v>0</v>
      </c>
      <c r="K14" s="16">
        <f>+'1.mell._Össz_Mérleg2019'!F117</f>
        <v>0</v>
      </c>
    </row>
    <row r="15" spans="1:11" ht="12.75" customHeight="1">
      <c r="A15" s="101" t="s">
        <v>16</v>
      </c>
      <c r="B15" s="151" t="s">
        <v>377</v>
      </c>
      <c r="C15" s="23">
        <f t="shared" si="0"/>
        <v>5800</v>
      </c>
      <c r="D15" s="21">
        <f>+'1.mell._Össz_Mérleg2019'!D44</f>
        <v>5800</v>
      </c>
      <c r="E15" s="12">
        <f>+'1.mell._Össz_Mérleg2019'!E44</f>
        <v>0</v>
      </c>
      <c r="F15" s="17">
        <f>+'1.mell._Össz_Mérleg2019'!F44</f>
        <v>0</v>
      </c>
      <c r="G15" s="152" t="s">
        <v>381</v>
      </c>
      <c r="H15" s="23">
        <f t="shared" si="1"/>
        <v>57543</v>
      </c>
      <c r="I15" s="21">
        <f>+'1.mell._Össz_Mérleg2019'!D123</f>
        <v>52505</v>
      </c>
      <c r="J15" s="12">
        <f>+'1.mell._Össz_Mérleg2019'!E123</f>
        <v>5038</v>
      </c>
      <c r="K15" s="17">
        <f>+'1.mell._Össz_Mérleg2019'!F123</f>
        <v>0</v>
      </c>
    </row>
    <row r="16" spans="1:11" s="14" customFormat="1">
      <c r="A16" s="101" t="s">
        <v>15</v>
      </c>
      <c r="B16" s="151"/>
      <c r="C16" s="23">
        <f t="shared" si="0"/>
        <v>0</v>
      </c>
      <c r="D16" s="21"/>
      <c r="E16" s="12"/>
      <c r="F16" s="17"/>
      <c r="G16" s="152" t="s">
        <v>382</v>
      </c>
      <c r="H16" s="23">
        <f t="shared" si="1"/>
        <v>2874202</v>
      </c>
      <c r="I16" s="21">
        <f>+'1.mell._Össz_Mérleg2019'!D132</f>
        <v>2869912</v>
      </c>
      <c r="J16" s="12">
        <f>+'1.mell._Össz_Mérleg2019'!E132</f>
        <v>4290</v>
      </c>
      <c r="K16" s="17">
        <f>+'1.mell._Össz_Mérleg2019'!F132</f>
        <v>0</v>
      </c>
    </row>
    <row r="17" spans="1:11" s="14" customFormat="1" ht="24.75" thickBot="1">
      <c r="A17" s="106" t="s">
        <v>360</v>
      </c>
      <c r="B17" s="148"/>
      <c r="C17" s="59">
        <f t="shared" si="0"/>
        <v>0</v>
      </c>
      <c r="D17" s="57"/>
      <c r="E17" s="52"/>
      <c r="F17" s="53"/>
      <c r="G17" s="162" t="s">
        <v>337</v>
      </c>
      <c r="H17" s="59">
        <f t="shared" si="1"/>
        <v>0</v>
      </c>
      <c r="I17" s="57">
        <f>+'1.mell._Össz_Mérleg2019'!D139</f>
        <v>0</v>
      </c>
      <c r="J17" s="52">
        <f>+'1.mell._Össz_Mérleg2019'!E139</f>
        <v>0</v>
      </c>
      <c r="K17" s="53">
        <f>+'1.mell._Össz_Mérleg2019'!F139</f>
        <v>0</v>
      </c>
    </row>
    <row r="18" spans="1:11" s="3" customFormat="1" ht="12.75" thickBot="1">
      <c r="A18" s="99" t="s">
        <v>14</v>
      </c>
      <c r="B18" s="86" t="s">
        <v>378</v>
      </c>
      <c r="C18" s="44">
        <f>+C19</f>
        <v>2738772</v>
      </c>
      <c r="D18" s="33">
        <f>+D19</f>
        <v>2738772</v>
      </c>
      <c r="E18" s="34">
        <f>+E19</f>
        <v>0</v>
      </c>
      <c r="F18" s="35">
        <f>+F19</f>
        <v>0</v>
      </c>
      <c r="G18" s="86" t="s">
        <v>383</v>
      </c>
      <c r="H18" s="44">
        <f>+H19</f>
        <v>26671</v>
      </c>
      <c r="I18" s="33">
        <f>+I19</f>
        <v>26671</v>
      </c>
      <c r="J18" s="34">
        <f>+J19</f>
        <v>0</v>
      </c>
      <c r="K18" s="35">
        <f>+K19</f>
        <v>0</v>
      </c>
    </row>
    <row r="19" spans="1:11">
      <c r="A19" s="149" t="s">
        <v>13</v>
      </c>
      <c r="B19" s="144" t="s">
        <v>957</v>
      </c>
      <c r="C19" s="22">
        <f>+C20+C30+C31+C32</f>
        <v>2738772</v>
      </c>
      <c r="D19" s="62">
        <f>+D20+D30+D31+D32</f>
        <v>2738772</v>
      </c>
      <c r="E19" s="60">
        <f>+E20+E30+E31+E32</f>
        <v>0</v>
      </c>
      <c r="F19" s="61">
        <f>+F20+F30+F31+F32</f>
        <v>0</v>
      </c>
      <c r="G19" s="144" t="s">
        <v>956</v>
      </c>
      <c r="H19" s="22">
        <f>+H20+H30+H31+H32</f>
        <v>26671</v>
      </c>
      <c r="I19" s="62">
        <f>+I20+I30+I31+I32</f>
        <v>26671</v>
      </c>
      <c r="J19" s="60">
        <f>+J20+J30+J31+J32</f>
        <v>0</v>
      </c>
      <c r="K19" s="61">
        <f>+K20+K30+K31+K32</f>
        <v>0</v>
      </c>
    </row>
    <row r="20" spans="1:11" s="14" customFormat="1">
      <c r="A20" s="100" t="s">
        <v>66</v>
      </c>
      <c r="B20" s="81" t="s">
        <v>954</v>
      </c>
      <c r="C20" s="36">
        <f>+C21+C22+C23+C24+C25+C26+C27+C28+C29</f>
        <v>2738772</v>
      </c>
      <c r="D20" s="41">
        <f>+D21+D22+D23+D24+D25+D26+D27+D28+D29</f>
        <v>2738772</v>
      </c>
      <c r="E20" s="11">
        <f>+E21+E22+E23+E24+E25+E26+E27+E28+E29</f>
        <v>0</v>
      </c>
      <c r="F20" s="42">
        <f>+F21+F22+F23+F24+F25+F26+F27+F28+F29</f>
        <v>0</v>
      </c>
      <c r="G20" s="81" t="s">
        <v>955</v>
      </c>
      <c r="H20" s="36">
        <f>+H21+H22+H23+H24+H25+H26+H27+H28+H29</f>
        <v>26671</v>
      </c>
      <c r="I20" s="41">
        <f>+I21+I22+I23+I24+I25+I26+I27+I28+I29</f>
        <v>26671</v>
      </c>
      <c r="J20" s="11">
        <f>+J21+J22+J23+J24+J25+J26+J27+J28+J29</f>
        <v>0</v>
      </c>
      <c r="K20" s="42">
        <f>+K21+K22+K23+K24+K25+K26+K27+K28+K29</f>
        <v>0</v>
      </c>
    </row>
    <row r="21" spans="1:11" s="14" customFormat="1">
      <c r="A21" s="102" t="s">
        <v>363</v>
      </c>
      <c r="B21" s="82" t="s">
        <v>246</v>
      </c>
      <c r="C21" s="24">
        <f t="shared" ref="C21:C31" si="2">+D21+E21+F21</f>
        <v>0</v>
      </c>
      <c r="D21" s="20">
        <f>+'1.mell._Össz_Mérleg2019'!D74</f>
        <v>0</v>
      </c>
      <c r="E21" s="13">
        <f>+'1.mell._Össz_Mérleg2019'!E74</f>
        <v>0</v>
      </c>
      <c r="F21" s="16">
        <f>+'1.mell._Össz_Mérleg2019'!F74</f>
        <v>0</v>
      </c>
      <c r="G21" s="82" t="s">
        <v>170</v>
      </c>
      <c r="H21" s="24">
        <f t="shared" ref="H21:H31" si="3">+I21+J21+K21</f>
        <v>0</v>
      </c>
      <c r="I21" s="20">
        <f>+'1.mell._Össz_Mérleg2019'!D180</f>
        <v>0</v>
      </c>
      <c r="J21" s="13">
        <f>+'1.mell._Össz_Mérleg2019'!E180</f>
        <v>0</v>
      </c>
      <c r="K21" s="16">
        <f>+'1.mell._Össz_Mérleg2019'!F180</f>
        <v>0</v>
      </c>
    </row>
    <row r="22" spans="1:11" s="14" customFormat="1">
      <c r="A22" s="102" t="s">
        <v>364</v>
      </c>
      <c r="B22" s="82" t="s">
        <v>247</v>
      </c>
      <c r="C22" s="24">
        <f t="shared" si="2"/>
        <v>0</v>
      </c>
      <c r="D22" s="20">
        <f>+'1.mell._Össz_Mérleg2019'!D75</f>
        <v>0</v>
      </c>
      <c r="E22" s="13">
        <f>+'1.mell._Össz_Mérleg2019'!E75</f>
        <v>0</v>
      </c>
      <c r="F22" s="16">
        <f>+'1.mell._Össz_Mérleg2019'!F75</f>
        <v>0</v>
      </c>
      <c r="G22" s="82" t="s">
        <v>171</v>
      </c>
      <c r="H22" s="24">
        <f t="shared" si="3"/>
        <v>0</v>
      </c>
      <c r="I22" s="20">
        <f>+'1.mell._Össz_Mérleg2019'!D181</f>
        <v>0</v>
      </c>
      <c r="J22" s="13">
        <f>+'1.mell._Össz_Mérleg2019'!E181</f>
        <v>0</v>
      </c>
      <c r="K22" s="16">
        <f>+'1.mell._Össz_Mérleg2019'!F181</f>
        <v>0</v>
      </c>
    </row>
    <row r="23" spans="1:11" s="14" customFormat="1">
      <c r="A23" s="102" t="s">
        <v>365</v>
      </c>
      <c r="B23" s="82" t="s">
        <v>248</v>
      </c>
      <c r="C23" s="24">
        <f t="shared" si="2"/>
        <v>2738772</v>
      </c>
      <c r="D23" s="20">
        <f>+'1.mell._Össz_Mérleg2019'!D76</f>
        <v>2738772</v>
      </c>
      <c r="E23" s="13">
        <f>+'1.mell._Össz_Mérleg2019'!E76</f>
        <v>0</v>
      </c>
      <c r="F23" s="16">
        <f>+'1.mell._Össz_Mérleg2019'!F76</f>
        <v>0</v>
      </c>
      <c r="G23" s="82" t="s">
        <v>172</v>
      </c>
      <c r="H23" s="24">
        <f t="shared" si="3"/>
        <v>0</v>
      </c>
      <c r="I23" s="20">
        <f>+'1.mell._Össz_Mérleg2019'!D182</f>
        <v>0</v>
      </c>
      <c r="J23" s="13">
        <f>+'1.mell._Össz_Mérleg2019'!E182</f>
        <v>0</v>
      </c>
      <c r="K23" s="16">
        <f>+'1.mell._Össz_Mérleg2019'!F182</f>
        <v>0</v>
      </c>
    </row>
    <row r="24" spans="1:11" s="14" customFormat="1">
      <c r="A24" s="102" t="s">
        <v>366</v>
      </c>
      <c r="B24" s="82" t="s">
        <v>249</v>
      </c>
      <c r="C24" s="24">
        <f t="shared" si="2"/>
        <v>0</v>
      </c>
      <c r="D24" s="20">
        <f>+'1.mell._Össz_Mérleg2019'!D77</f>
        <v>0</v>
      </c>
      <c r="E24" s="13">
        <f>+'1.mell._Össz_Mérleg2019'!E77</f>
        <v>0</v>
      </c>
      <c r="F24" s="16">
        <f>+'1.mell._Össz_Mérleg2019'!F77</f>
        <v>0</v>
      </c>
      <c r="G24" s="82" t="s">
        <v>173</v>
      </c>
      <c r="H24" s="24">
        <f t="shared" si="3"/>
        <v>26671</v>
      </c>
      <c r="I24" s="20">
        <f>+'1.mell._Össz_Mérleg2019'!D183</f>
        <v>26671</v>
      </c>
      <c r="J24" s="13">
        <f>+'1.mell._Össz_Mérleg2019'!E183</f>
        <v>0</v>
      </c>
      <c r="K24" s="16">
        <f>+'1.mell._Össz_Mérleg2019'!F183</f>
        <v>0</v>
      </c>
    </row>
    <row r="25" spans="1:11" s="14" customFormat="1">
      <c r="A25" s="102" t="s">
        <v>367</v>
      </c>
      <c r="B25" s="82" t="s">
        <v>250</v>
      </c>
      <c r="C25" s="24">
        <f t="shared" si="2"/>
        <v>0</v>
      </c>
      <c r="D25" s="20">
        <f>+'1.mell._Össz_Mérleg2019'!D78</f>
        <v>0</v>
      </c>
      <c r="E25" s="13">
        <f>+'1.mell._Össz_Mérleg2019'!E78</f>
        <v>0</v>
      </c>
      <c r="F25" s="16">
        <f>+'1.mell._Össz_Mérleg2019'!F78</f>
        <v>0</v>
      </c>
      <c r="G25" s="82" t="s">
        <v>174</v>
      </c>
      <c r="H25" s="24">
        <f t="shared" si="3"/>
        <v>0</v>
      </c>
      <c r="I25" s="20">
        <f>+'1.mell._Össz_Mérleg2019'!D184</f>
        <v>0</v>
      </c>
      <c r="J25" s="13">
        <f>+'1.mell._Össz_Mérleg2019'!E184</f>
        <v>0</v>
      </c>
      <c r="K25" s="16">
        <f>+'1.mell._Össz_Mérleg2019'!F184</f>
        <v>0</v>
      </c>
    </row>
    <row r="26" spans="1:11" s="14" customFormat="1">
      <c r="A26" s="102" t="s">
        <v>368</v>
      </c>
      <c r="B26" s="82" t="s">
        <v>251</v>
      </c>
      <c r="C26" s="24">
        <f t="shared" si="2"/>
        <v>0</v>
      </c>
      <c r="D26" s="20">
        <f>+'1.mell._Össz_Mérleg2019'!D79</f>
        <v>0</v>
      </c>
      <c r="E26" s="13">
        <f>+'1.mell._Össz_Mérleg2019'!E79</f>
        <v>0</v>
      </c>
      <c r="F26" s="16">
        <f>+'1.mell._Össz_Mérleg2019'!F79</f>
        <v>0</v>
      </c>
      <c r="G26" s="82" t="s">
        <v>179</v>
      </c>
      <c r="H26" s="24">
        <f t="shared" si="3"/>
        <v>0</v>
      </c>
      <c r="I26" s="20">
        <f>+'1.mell._Össz_Mérleg2019'!D185</f>
        <v>0</v>
      </c>
      <c r="J26" s="13">
        <f>+'1.mell._Össz_Mérleg2019'!E185</f>
        <v>0</v>
      </c>
      <c r="K26" s="16">
        <f>+'1.mell._Össz_Mérleg2019'!F185</f>
        <v>0</v>
      </c>
    </row>
    <row r="27" spans="1:11" s="14" customFormat="1">
      <c r="A27" s="102" t="s">
        <v>369</v>
      </c>
      <c r="B27" s="82" t="s">
        <v>252</v>
      </c>
      <c r="C27" s="24">
        <f t="shared" si="2"/>
        <v>0</v>
      </c>
      <c r="D27" s="20">
        <f>+'1.mell._Össz_Mérleg2019'!D80</f>
        <v>0</v>
      </c>
      <c r="E27" s="13">
        <f>+'1.mell._Össz_Mérleg2019'!E80</f>
        <v>0</v>
      </c>
      <c r="F27" s="16">
        <f>+'1.mell._Össz_Mérleg2019'!F80</f>
        <v>0</v>
      </c>
      <c r="G27" s="82" t="s">
        <v>175</v>
      </c>
      <c r="H27" s="24">
        <f t="shared" si="3"/>
        <v>0</v>
      </c>
      <c r="I27" s="20">
        <f>+'1.mell._Össz_Mérleg2019'!D186</f>
        <v>0</v>
      </c>
      <c r="J27" s="13">
        <f>+'1.mell._Össz_Mérleg2019'!E186</f>
        <v>0</v>
      </c>
      <c r="K27" s="16">
        <f>+'1.mell._Össz_Mérleg2019'!F186</f>
        <v>0</v>
      </c>
    </row>
    <row r="28" spans="1:11">
      <c r="A28" s="102" t="s">
        <v>370</v>
      </c>
      <c r="B28" s="82" t="s">
        <v>245</v>
      </c>
      <c r="C28" s="24">
        <f t="shared" si="2"/>
        <v>0</v>
      </c>
      <c r="D28" s="20">
        <f>+'1.mell._Össz_Mérleg2019'!D81</f>
        <v>0</v>
      </c>
      <c r="E28" s="13">
        <f>+'1.mell._Össz_Mérleg2019'!E81</f>
        <v>0</v>
      </c>
      <c r="F28" s="16">
        <f>+'1.mell._Össz_Mérleg2019'!F81</f>
        <v>0</v>
      </c>
      <c r="G28" s="82" t="s">
        <v>176</v>
      </c>
      <c r="H28" s="24">
        <f t="shared" si="3"/>
        <v>0</v>
      </c>
      <c r="I28" s="20">
        <f>+'1.mell._Össz_Mérleg2019'!D187</f>
        <v>0</v>
      </c>
      <c r="J28" s="13">
        <f>+'1.mell._Össz_Mérleg2019'!E187</f>
        <v>0</v>
      </c>
      <c r="K28" s="16">
        <f>+'1.mell._Össz_Mérleg2019'!F187</f>
        <v>0</v>
      </c>
    </row>
    <row r="29" spans="1:11">
      <c r="A29" s="102" t="s">
        <v>953</v>
      </c>
      <c r="B29" s="82" t="s">
        <v>923</v>
      </c>
      <c r="C29" s="24">
        <f>+D29+E29+F29</f>
        <v>0</v>
      </c>
      <c r="D29" s="20">
        <f>+'1.mell._Össz_Mérleg2019'!D82</f>
        <v>0</v>
      </c>
      <c r="E29" s="13">
        <f>+'1.mell._Össz_Mérleg2019'!E82</f>
        <v>0</v>
      </c>
      <c r="F29" s="16">
        <f>+'1.mell._Össz_Mérleg2019'!F82</f>
        <v>0</v>
      </c>
      <c r="G29" s="82" t="s">
        <v>947</v>
      </c>
      <c r="H29" s="24">
        <f>+I29+J29+K29</f>
        <v>0</v>
      </c>
      <c r="I29" s="20">
        <f>+'1.mell._Össz_Mérleg2019'!D188</f>
        <v>0</v>
      </c>
      <c r="J29" s="13">
        <f>+'1.mell._Össz_Mérleg2019'!E188</f>
        <v>0</v>
      </c>
      <c r="K29" s="16">
        <f>+'1.mell._Össz_Mérleg2019'!F188</f>
        <v>0</v>
      </c>
    </row>
    <row r="30" spans="1:11">
      <c r="A30" s="101" t="s">
        <v>67</v>
      </c>
      <c r="B30" s="83" t="s">
        <v>243</v>
      </c>
      <c r="C30" s="23">
        <f t="shared" si="2"/>
        <v>0</v>
      </c>
      <c r="D30" s="21">
        <f>+'1.mell._Össz_Mérleg2019'!D83</f>
        <v>0</v>
      </c>
      <c r="E30" s="12">
        <f>+'1.mell._Össz_Mérleg2019'!E83</f>
        <v>0</v>
      </c>
      <c r="F30" s="17">
        <f>+'1.mell._Össz_Mérleg2019'!F83</f>
        <v>0</v>
      </c>
      <c r="G30" s="83" t="s">
        <v>177</v>
      </c>
      <c r="H30" s="23">
        <f t="shared" si="3"/>
        <v>0</v>
      </c>
      <c r="I30" s="21">
        <f>+'1.mell._Össz_Mérleg2019'!D189</f>
        <v>0</v>
      </c>
      <c r="J30" s="12">
        <f>+'1.mell._Össz_Mérleg2019'!E189</f>
        <v>0</v>
      </c>
      <c r="K30" s="17">
        <f>+'1.mell._Össz_Mérleg2019'!F189</f>
        <v>0</v>
      </c>
    </row>
    <row r="31" spans="1:11" s="3" customFormat="1">
      <c r="A31" s="94" t="s">
        <v>68</v>
      </c>
      <c r="B31" s="84" t="s">
        <v>244</v>
      </c>
      <c r="C31" s="26">
        <f t="shared" si="2"/>
        <v>0</v>
      </c>
      <c r="D31" s="27">
        <f>+'1.mell._Össz_Mérleg2019'!D84</f>
        <v>0</v>
      </c>
      <c r="E31" s="28">
        <f>+'1.mell._Össz_Mérleg2019'!E84</f>
        <v>0</v>
      </c>
      <c r="F31" s="29">
        <f>+'1.mell._Össz_Mérleg2019'!F84</f>
        <v>0</v>
      </c>
      <c r="G31" s="84" t="s">
        <v>178</v>
      </c>
      <c r="H31" s="26">
        <f t="shared" si="3"/>
        <v>0</v>
      </c>
      <c r="I31" s="27">
        <f>+'1.mell._Össz_Mérleg2019'!D190</f>
        <v>0</v>
      </c>
      <c r="J31" s="28">
        <f>+'1.mell._Össz_Mérleg2019'!E190</f>
        <v>0</v>
      </c>
      <c r="K31" s="29">
        <f>+'1.mell._Össz_Mérleg2019'!F190</f>
        <v>0</v>
      </c>
    </row>
    <row r="32" spans="1:11" s="3" customFormat="1" ht="12.75" thickBot="1">
      <c r="A32" s="94" t="s">
        <v>230</v>
      </c>
      <c r="B32" s="84" t="s">
        <v>925</v>
      </c>
      <c r="C32" s="26">
        <f>+D32+E32+F32</f>
        <v>0</v>
      </c>
      <c r="D32" s="27">
        <f>+'1.mell._Össz_Mérleg2019'!D85</f>
        <v>0</v>
      </c>
      <c r="E32" s="28">
        <f>+'1.mell._Össz_Mérleg2019'!E85</f>
        <v>0</v>
      </c>
      <c r="F32" s="29">
        <f>+'1.mell._Össz_Mérleg2019'!F85</f>
        <v>0</v>
      </c>
      <c r="G32" s="84" t="s">
        <v>948</v>
      </c>
      <c r="H32" s="26">
        <f>+I32+J32+K32</f>
        <v>0</v>
      </c>
      <c r="I32" s="27">
        <f>+'1.mell._Össz_Mérleg2019'!D191</f>
        <v>0</v>
      </c>
      <c r="J32" s="28">
        <f>+'1.mell._Össz_Mérleg2019'!E191</f>
        <v>0</v>
      </c>
      <c r="K32" s="29">
        <f>+'1.mell._Össz_Mérleg2019'!F191</f>
        <v>0</v>
      </c>
    </row>
    <row r="33" spans="1:11" s="3" customFormat="1" ht="12.75" thickBot="1">
      <c r="A33" s="97" t="s">
        <v>12</v>
      </c>
      <c r="B33" s="160" t="s">
        <v>384</v>
      </c>
      <c r="C33" s="43">
        <f>+C8+C18</f>
        <v>4223971</v>
      </c>
      <c r="D33" s="159">
        <f>+D8+D18</f>
        <v>4179311</v>
      </c>
      <c r="E33" s="158">
        <f>+E8+E18</f>
        <v>44660</v>
      </c>
      <c r="F33" s="157">
        <f>+F8+F18</f>
        <v>0</v>
      </c>
      <c r="G33" s="145" t="s">
        <v>387</v>
      </c>
      <c r="H33" s="44">
        <f>+H8+H18</f>
        <v>4137245</v>
      </c>
      <c r="I33" s="33">
        <f>+I8+I18</f>
        <v>4076459</v>
      </c>
      <c r="J33" s="34">
        <f>+J8+J18</f>
        <v>60786</v>
      </c>
      <c r="K33" s="35">
        <f>+K8+K18</f>
        <v>0</v>
      </c>
    </row>
    <row r="34" spans="1:11" s="3" customFormat="1" ht="12.75" thickBot="1">
      <c r="A34" s="99" t="s">
        <v>11</v>
      </c>
      <c r="B34" s="85" t="s">
        <v>385</v>
      </c>
      <c r="C34" s="167">
        <f>IF(((H8-C8)&gt;0),H8-C8,"----")</f>
        <v>2625375</v>
      </c>
      <c r="D34" s="166">
        <f>IF(((I8-D8)&gt;0),I8-D8,"----")</f>
        <v>2609249</v>
      </c>
      <c r="E34" s="165">
        <f>IF(((J8-E8)&gt;0),J8-E8,"----")</f>
        <v>16126</v>
      </c>
      <c r="F34" s="164" t="str">
        <f>IF(((K8-F8)&gt;0),K8-F8,"----")</f>
        <v>----</v>
      </c>
      <c r="G34" s="85" t="s">
        <v>386</v>
      </c>
      <c r="H34" s="167" t="str">
        <f>IF(((C8-H8)&gt;0),C8-H8,"----")</f>
        <v>----</v>
      </c>
      <c r="I34" s="166" t="str">
        <f>IF(((D8-I8)&gt;0),D8-I8,"----")</f>
        <v>----</v>
      </c>
      <c r="J34" s="165" t="str">
        <f>IF(((E8-J8)&gt;0),E8-J8,"----")</f>
        <v>----</v>
      </c>
      <c r="K34" s="164" t="str">
        <f>IF(((F8-K8)&gt;0),F8-K8,"----")</f>
        <v>----</v>
      </c>
    </row>
    <row r="35" spans="1:11" s="3" customFormat="1" ht="12.75" thickBot="1">
      <c r="A35" s="99" t="s">
        <v>10</v>
      </c>
      <c r="B35" s="85" t="s">
        <v>389</v>
      </c>
      <c r="C35" s="167" t="str">
        <f>IF(((H18-C18)&gt;0),H18-C18,"----")</f>
        <v>----</v>
      </c>
      <c r="D35" s="166" t="str">
        <f>IF(((I18-D18)&gt;0),I18-D18,"----")</f>
        <v>----</v>
      </c>
      <c r="E35" s="165" t="str">
        <f>IF(((J18-E18)&gt;0),J18-E18,"----")</f>
        <v>----</v>
      </c>
      <c r="F35" s="164" t="str">
        <f>IF(((K18-F18)&gt;0),K18-F18,"----")</f>
        <v>----</v>
      </c>
      <c r="G35" s="85" t="s">
        <v>390</v>
      </c>
      <c r="H35" s="167">
        <f>IF(((C18-H18)&gt;0),C18-H18,"----")</f>
        <v>2712101</v>
      </c>
      <c r="I35" s="166">
        <f>IF(((D18-I18)&gt;0),D18-I18,"----")</f>
        <v>2712101</v>
      </c>
      <c r="J35" s="165" t="str">
        <f>IF(((E18-J18)&gt;0),E18-J18,"----")</f>
        <v>----</v>
      </c>
      <c r="K35" s="164" t="str">
        <f>IF(((F18-K18)&gt;0),F18-K18,"----")</f>
        <v>----</v>
      </c>
    </row>
  </sheetData>
  <mergeCells count="4">
    <mergeCell ref="A3:K3"/>
    <mergeCell ref="A4:K4"/>
    <mergeCell ref="C7:F7"/>
    <mergeCell ref="H7:K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4">
    <tabColor rgb="FF00B0F0"/>
    <pageSetUpPr fitToPage="1"/>
  </sheetPr>
  <dimension ref="A1:K39"/>
  <sheetViews>
    <sheetView zoomScaleNormal="100" workbookViewId="0"/>
  </sheetViews>
  <sheetFormatPr defaultRowHeight="12"/>
  <cols>
    <col min="1" max="1" width="6.5703125" style="4" customWidth="1"/>
    <col min="2" max="2" width="70.42578125" style="4" customWidth="1"/>
    <col min="3" max="6" width="9.28515625" style="4" customWidth="1"/>
    <col min="7" max="7" width="60" style="4" customWidth="1"/>
    <col min="8" max="11" width="9.28515625" style="4" customWidth="1"/>
    <col min="12" max="16384" width="9.140625" style="4"/>
  </cols>
  <sheetData>
    <row r="1" spans="1:11" s="63" customFormat="1" ht="15.75">
      <c r="K1" s="64" t="s">
        <v>391</v>
      </c>
    </row>
    <row r="2" spans="1:11" s="63" customFormat="1" ht="15.75"/>
    <row r="3" spans="1:11" s="65" customFormat="1" ht="15.75">
      <c r="A3" s="1433" t="s">
        <v>331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</row>
    <row r="4" spans="1:11" s="65" customFormat="1" ht="15.75">
      <c r="A4" s="1433" t="s">
        <v>1321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</row>
    <row r="5" spans="1:11" s="46" customFormat="1" ht="12.75" thickBot="1">
      <c r="A5" s="48"/>
      <c r="K5" s="47" t="s">
        <v>281</v>
      </c>
    </row>
    <row r="6" spans="1:11" s="9" customFormat="1" ht="54" customHeight="1" thickBot="1">
      <c r="A6" s="95" t="s">
        <v>17</v>
      </c>
      <c r="B6" s="109" t="s">
        <v>328</v>
      </c>
      <c r="C6" s="156" t="s">
        <v>1317</v>
      </c>
      <c r="D6" s="155" t="s">
        <v>51</v>
      </c>
      <c r="E6" s="154" t="s">
        <v>52</v>
      </c>
      <c r="F6" s="153" t="s">
        <v>53</v>
      </c>
      <c r="G6" s="96" t="s">
        <v>329</v>
      </c>
      <c r="H6" s="95" t="s">
        <v>1317</v>
      </c>
      <c r="I6" s="155" t="s">
        <v>51</v>
      </c>
      <c r="J6" s="154" t="s">
        <v>52</v>
      </c>
      <c r="K6" s="153" t="s">
        <v>53</v>
      </c>
    </row>
    <row r="7" spans="1:11" s="3" customFormat="1" ht="12.75" thickBot="1">
      <c r="A7" s="99" t="s">
        <v>253</v>
      </c>
      <c r="B7" s="110" t="s">
        <v>254</v>
      </c>
      <c r="C7" s="1451" t="s">
        <v>255</v>
      </c>
      <c r="D7" s="1452"/>
      <c r="E7" s="1452"/>
      <c r="F7" s="1453"/>
      <c r="G7" s="98" t="s">
        <v>361</v>
      </c>
      <c r="H7" s="1454" t="s">
        <v>362</v>
      </c>
      <c r="I7" s="1455"/>
      <c r="J7" s="1455"/>
      <c r="K7" s="1456"/>
    </row>
    <row r="8" spans="1:11" s="3" customFormat="1" ht="12.75" thickBot="1">
      <c r="A8" s="111" t="s">
        <v>4</v>
      </c>
      <c r="B8" s="79" t="s">
        <v>402</v>
      </c>
      <c r="C8" s="43">
        <f>+C9+C11+C13+C15</f>
        <v>389249</v>
      </c>
      <c r="D8" s="38">
        <f>+D9+D11+D13+D15</f>
        <v>37749</v>
      </c>
      <c r="E8" s="39">
        <f>+E9+E11+E13+E15</f>
        <v>351500</v>
      </c>
      <c r="F8" s="40">
        <f>+F9+F11+F13+F15</f>
        <v>0</v>
      </c>
      <c r="G8" s="85" t="s">
        <v>403</v>
      </c>
      <c r="H8" s="44">
        <f>+H9+H11+H13+H15+H16</f>
        <v>485974</v>
      </c>
      <c r="I8" s="33">
        <f>+I9+I11+I13+I15+I16</f>
        <v>134674</v>
      </c>
      <c r="J8" s="34">
        <f>+J9+J11+J13+J15+J16</f>
        <v>351300</v>
      </c>
      <c r="K8" s="35">
        <f>+K9+K11+K13+K15+K16</f>
        <v>0</v>
      </c>
    </row>
    <row r="9" spans="1:11" ht="12.75" customHeight="1">
      <c r="A9" s="149" t="s">
        <v>5</v>
      </c>
      <c r="B9" s="144" t="s">
        <v>399</v>
      </c>
      <c r="C9" s="22">
        <f>+D9+E9+F9</f>
        <v>377399</v>
      </c>
      <c r="D9" s="62">
        <f>+'1.mell._Össz_Mérleg2019'!D51</f>
        <v>27399</v>
      </c>
      <c r="E9" s="60">
        <f>+'1.mell._Össz_Mérleg2019'!E51</f>
        <v>350000</v>
      </c>
      <c r="F9" s="61">
        <f>+'1.mell._Össz_Mérleg2019'!F51</f>
        <v>0</v>
      </c>
      <c r="G9" s="150" t="s">
        <v>404</v>
      </c>
      <c r="H9" s="22">
        <f>+I9+J9+K9</f>
        <v>466298</v>
      </c>
      <c r="I9" s="62">
        <f>+'1.mell._Össz_Mérleg2019'!D150</f>
        <v>114998</v>
      </c>
      <c r="J9" s="60">
        <f>+'1.mell._Össz_Mérleg2019'!E150</f>
        <v>351300</v>
      </c>
      <c r="K9" s="61">
        <f>+'1.mell._Össz_Mérleg2019'!F150</f>
        <v>0</v>
      </c>
    </row>
    <row r="10" spans="1:11" s="14" customFormat="1" ht="24">
      <c r="A10" s="102" t="s">
        <v>349</v>
      </c>
      <c r="B10" s="161"/>
      <c r="C10" s="24">
        <f t="shared" ref="C10:C17" si="0">+D10+E10+F10</f>
        <v>0</v>
      </c>
      <c r="D10" s="20"/>
      <c r="E10" s="13"/>
      <c r="F10" s="16"/>
      <c r="G10" s="163" t="s">
        <v>342</v>
      </c>
      <c r="H10" s="24">
        <f t="shared" ref="H10:H17" si="1">+I10+J10+K10</f>
        <v>0</v>
      </c>
      <c r="I10" s="20">
        <f>+'1.mell._Össz_Mérleg2019'!D151</f>
        <v>0</v>
      </c>
      <c r="J10" s="13">
        <f>+'1.mell._Össz_Mérleg2019'!E151</f>
        <v>0</v>
      </c>
      <c r="K10" s="16">
        <f>+'1.mell._Össz_Mérleg2019'!F151</f>
        <v>0</v>
      </c>
    </row>
    <row r="11" spans="1:11" ht="12.75" customHeight="1">
      <c r="A11" s="101" t="s">
        <v>6</v>
      </c>
      <c r="B11" s="151" t="s">
        <v>400</v>
      </c>
      <c r="C11" s="23">
        <f t="shared" si="0"/>
        <v>10350</v>
      </c>
      <c r="D11" s="21">
        <f>+'1.mell._Össz_Mérleg2019'!D58</f>
        <v>10350</v>
      </c>
      <c r="E11" s="12">
        <f>+'1.mell._Össz_Mérleg2019'!E58</f>
        <v>0</v>
      </c>
      <c r="F11" s="17">
        <f>+'1.mell._Össz_Mérleg2019'!F58</f>
        <v>0</v>
      </c>
      <c r="G11" s="152" t="s">
        <v>405</v>
      </c>
      <c r="H11" s="23">
        <f t="shared" si="1"/>
        <v>19676</v>
      </c>
      <c r="I11" s="21">
        <f>+'1.mell._Össz_Mérleg2019'!D159</f>
        <v>19676</v>
      </c>
      <c r="J11" s="12">
        <f>+'1.mell._Össz_Mérleg2019'!E159</f>
        <v>0</v>
      </c>
      <c r="K11" s="17">
        <f>+'1.mell._Össz_Mérleg2019'!F159</f>
        <v>0</v>
      </c>
    </row>
    <row r="12" spans="1:11" s="14" customFormat="1" ht="24">
      <c r="A12" s="102" t="s">
        <v>346</v>
      </c>
      <c r="B12" s="146"/>
      <c r="C12" s="24">
        <f t="shared" si="0"/>
        <v>0</v>
      </c>
      <c r="D12" s="20"/>
      <c r="E12" s="13"/>
      <c r="F12" s="16"/>
      <c r="G12" s="163" t="s">
        <v>345</v>
      </c>
      <c r="H12" s="24">
        <f t="shared" si="1"/>
        <v>0</v>
      </c>
      <c r="I12" s="20">
        <f>+'1.mell._Össz_Mérleg2019'!D160</f>
        <v>0</v>
      </c>
      <c r="J12" s="13">
        <f>+'1.mell._Össz_Mérleg2019'!E160</f>
        <v>0</v>
      </c>
      <c r="K12" s="16">
        <f>+'1.mell._Össz_Mérleg2019'!F160</f>
        <v>0</v>
      </c>
    </row>
    <row r="13" spans="1:11">
      <c r="A13" s="101" t="s">
        <v>3</v>
      </c>
      <c r="B13" s="151" t="s">
        <v>401</v>
      </c>
      <c r="C13" s="23">
        <f t="shared" si="0"/>
        <v>1500</v>
      </c>
      <c r="D13" s="21">
        <f>+'1.mell._Össz_Mérleg2019'!D64</f>
        <v>0</v>
      </c>
      <c r="E13" s="12">
        <f>+'1.mell._Össz_Mérleg2019'!E64</f>
        <v>1500</v>
      </c>
      <c r="F13" s="17">
        <f>+'1.mell._Össz_Mérleg2019'!F64</f>
        <v>0</v>
      </c>
      <c r="G13" s="152" t="s">
        <v>406</v>
      </c>
      <c r="H13" s="23">
        <f t="shared" si="1"/>
        <v>0</v>
      </c>
      <c r="I13" s="21">
        <f>+'1.mell._Össz_Mérleg2019'!D165</f>
        <v>0</v>
      </c>
      <c r="J13" s="12">
        <f>+'1.mell._Össz_Mérleg2019'!E165</f>
        <v>0</v>
      </c>
      <c r="K13" s="17">
        <f>+'1.mell._Össz_Mérleg2019'!F165</f>
        <v>0</v>
      </c>
    </row>
    <row r="14" spans="1:11" s="14" customFormat="1" ht="24">
      <c r="A14" s="102" t="s">
        <v>341</v>
      </c>
      <c r="B14" s="147"/>
      <c r="C14" s="24">
        <f t="shared" si="0"/>
        <v>0</v>
      </c>
      <c r="D14" s="20"/>
      <c r="E14" s="13"/>
      <c r="F14" s="16"/>
      <c r="G14" s="163" t="s">
        <v>340</v>
      </c>
      <c r="H14" s="24">
        <f t="shared" si="1"/>
        <v>0</v>
      </c>
      <c r="I14" s="20">
        <f>+'1.mell._Össz_Mérleg2019'!D170</f>
        <v>0</v>
      </c>
      <c r="J14" s="13">
        <f>+'1.mell._Össz_Mérleg2019'!E170</f>
        <v>0</v>
      </c>
      <c r="K14" s="16">
        <f>+'1.mell._Össz_Mérleg2019'!F170</f>
        <v>0</v>
      </c>
    </row>
    <row r="15" spans="1:11" ht="12.75" customHeight="1">
      <c r="A15" s="101" t="s">
        <v>16</v>
      </c>
      <c r="B15" s="151"/>
      <c r="C15" s="23">
        <f t="shared" si="0"/>
        <v>0</v>
      </c>
      <c r="D15" s="21"/>
      <c r="E15" s="12"/>
      <c r="F15" s="17"/>
      <c r="G15" s="152"/>
      <c r="H15" s="23">
        <f t="shared" si="1"/>
        <v>0</v>
      </c>
      <c r="I15" s="21"/>
      <c r="J15" s="12"/>
      <c r="K15" s="17"/>
    </row>
    <row r="16" spans="1:11" s="14" customFormat="1">
      <c r="A16" s="101" t="s">
        <v>15</v>
      </c>
      <c r="B16" s="151"/>
      <c r="C16" s="23">
        <f t="shared" si="0"/>
        <v>0</v>
      </c>
      <c r="D16" s="21"/>
      <c r="E16" s="12"/>
      <c r="F16" s="17"/>
      <c r="G16" s="152"/>
      <c r="H16" s="23">
        <f t="shared" si="1"/>
        <v>0</v>
      </c>
      <c r="I16" s="21"/>
      <c r="J16" s="12"/>
      <c r="K16" s="17"/>
    </row>
    <row r="17" spans="1:11" s="14" customFormat="1" ht="12.75" thickBot="1">
      <c r="A17" s="106" t="s">
        <v>360</v>
      </c>
      <c r="B17" s="148"/>
      <c r="C17" s="59">
        <f t="shared" si="0"/>
        <v>0</v>
      </c>
      <c r="D17" s="57"/>
      <c r="E17" s="52"/>
      <c r="F17" s="53"/>
      <c r="G17" s="162"/>
      <c r="H17" s="59">
        <f t="shared" si="1"/>
        <v>0</v>
      </c>
      <c r="I17" s="57"/>
      <c r="J17" s="52"/>
      <c r="K17" s="53"/>
    </row>
    <row r="18" spans="1:11" s="3" customFormat="1" ht="12.75" thickBot="1">
      <c r="A18" s="99" t="s">
        <v>14</v>
      </c>
      <c r="B18" s="86" t="s">
        <v>392</v>
      </c>
      <c r="C18" s="44">
        <f>+C19</f>
        <v>9999</v>
      </c>
      <c r="D18" s="33">
        <f>+D19</f>
        <v>9999</v>
      </c>
      <c r="E18" s="34">
        <f>+E19</f>
        <v>0</v>
      </c>
      <c r="F18" s="35">
        <f>+F19</f>
        <v>0</v>
      </c>
      <c r="G18" s="86" t="s">
        <v>398</v>
      </c>
      <c r="H18" s="44">
        <f>+H19</f>
        <v>0</v>
      </c>
      <c r="I18" s="33">
        <f>+I19</f>
        <v>0</v>
      </c>
      <c r="J18" s="34">
        <f>+J19</f>
        <v>0</v>
      </c>
      <c r="K18" s="35">
        <f>+K19</f>
        <v>0</v>
      </c>
    </row>
    <row r="19" spans="1:11">
      <c r="A19" s="149" t="s">
        <v>13</v>
      </c>
      <c r="B19" s="144" t="s">
        <v>958</v>
      </c>
      <c r="C19" s="22">
        <f>+C20+C30+C31</f>
        <v>9999</v>
      </c>
      <c r="D19" s="62">
        <f>+D20+D30+D31</f>
        <v>9999</v>
      </c>
      <c r="E19" s="60">
        <f>+E20+E30+E31</f>
        <v>0</v>
      </c>
      <c r="F19" s="61">
        <f>+F20+F30+F31</f>
        <v>0</v>
      </c>
      <c r="G19" s="144" t="s">
        <v>959</v>
      </c>
      <c r="H19" s="22">
        <f>+H20+H30+H31</f>
        <v>0</v>
      </c>
      <c r="I19" s="62">
        <f>+I20+I30+I31</f>
        <v>0</v>
      </c>
      <c r="J19" s="60">
        <f>+J20+J30+J31</f>
        <v>0</v>
      </c>
      <c r="K19" s="61">
        <f>+K20+K30+K31</f>
        <v>0</v>
      </c>
    </row>
    <row r="20" spans="1:11" s="14" customFormat="1">
      <c r="A20" s="100" t="s">
        <v>66</v>
      </c>
      <c r="B20" s="81" t="s">
        <v>954</v>
      </c>
      <c r="C20" s="36">
        <f>+C21+C22+C23+C24+C25+C26+C27+C28</f>
        <v>9999</v>
      </c>
      <c r="D20" s="41">
        <f>+D21+D22+D23+D24+D25+D26+D27+D28</f>
        <v>9999</v>
      </c>
      <c r="E20" s="11">
        <f>+E21+E22+E23+E24+E25+E26+E27+E28</f>
        <v>0</v>
      </c>
      <c r="F20" s="42">
        <f>+F21+F22+F23+F24+F25+F26+F27+F28</f>
        <v>0</v>
      </c>
      <c r="G20" s="81" t="s">
        <v>955</v>
      </c>
      <c r="H20" s="36">
        <f>+H21+H22+H23+H24+H25+H26+H27+H28</f>
        <v>0</v>
      </c>
      <c r="I20" s="41">
        <f>+I21+I22+I23+I24+I25+I26+I27+I28</f>
        <v>0</v>
      </c>
      <c r="J20" s="11">
        <f>+J21+J22+J23+J24+J25+J26+J27+J28</f>
        <v>0</v>
      </c>
      <c r="K20" s="42">
        <f>+K21+K22+K23+K24+K25+K26+K27+K28</f>
        <v>0</v>
      </c>
    </row>
    <row r="21" spans="1:11" s="14" customFormat="1">
      <c r="A21" s="102" t="s">
        <v>363</v>
      </c>
      <c r="B21" s="82" t="s">
        <v>246</v>
      </c>
      <c r="C21" s="24">
        <f t="shared" ref="C21:C31" si="2">+D21+E21+F21</f>
        <v>9999</v>
      </c>
      <c r="D21" s="20">
        <f>+'1.mell._Össz_Mérleg2019'!D89</f>
        <v>9999</v>
      </c>
      <c r="E21" s="13">
        <f>+'1.mell._Össz_Mérleg2019'!E89</f>
        <v>0</v>
      </c>
      <c r="F21" s="16">
        <f>+'1.mell._Össz_Mérleg2019'!F89</f>
        <v>0</v>
      </c>
      <c r="G21" s="82" t="s">
        <v>170</v>
      </c>
      <c r="H21" s="24">
        <f t="shared" ref="H21:H31" si="3">+I21+J21+K21</f>
        <v>0</v>
      </c>
      <c r="I21" s="20">
        <f>+'1.mell._Össz_Mérleg2019'!D195</f>
        <v>0</v>
      </c>
      <c r="J21" s="13">
        <f>+'1.mell._Össz_Mérleg2019'!E195</f>
        <v>0</v>
      </c>
      <c r="K21" s="16">
        <f>+'1.mell._Össz_Mérleg2019'!F195</f>
        <v>0</v>
      </c>
    </row>
    <row r="22" spans="1:11" s="14" customFormat="1">
      <c r="A22" s="102" t="s">
        <v>364</v>
      </c>
      <c r="B22" s="82" t="s">
        <v>247</v>
      </c>
      <c r="C22" s="24">
        <f t="shared" si="2"/>
        <v>0</v>
      </c>
      <c r="D22" s="20">
        <f>+'1.mell._Össz_Mérleg2019'!D90</f>
        <v>0</v>
      </c>
      <c r="E22" s="13">
        <f>+'1.mell._Össz_Mérleg2019'!E90</f>
        <v>0</v>
      </c>
      <c r="F22" s="16">
        <f>+'1.mell._Össz_Mérleg2019'!F90</f>
        <v>0</v>
      </c>
      <c r="G22" s="82" t="s">
        <v>171</v>
      </c>
      <c r="H22" s="24">
        <f t="shared" si="3"/>
        <v>0</v>
      </c>
      <c r="I22" s="20">
        <f>+'1.mell._Össz_Mérleg2019'!D196</f>
        <v>0</v>
      </c>
      <c r="J22" s="13">
        <f>+'1.mell._Össz_Mérleg2019'!E196</f>
        <v>0</v>
      </c>
      <c r="K22" s="16">
        <f>+'1.mell._Össz_Mérleg2019'!F196</f>
        <v>0</v>
      </c>
    </row>
    <row r="23" spans="1:11" s="14" customFormat="1">
      <c r="A23" s="102" t="s">
        <v>365</v>
      </c>
      <c r="B23" s="82" t="s">
        <v>248</v>
      </c>
      <c r="C23" s="24">
        <f t="shared" si="2"/>
        <v>0</v>
      </c>
      <c r="D23" s="20">
        <f>+'1.mell._Össz_Mérleg2019'!D91</f>
        <v>0</v>
      </c>
      <c r="E23" s="13">
        <f>+'1.mell._Össz_Mérleg2019'!E91</f>
        <v>0</v>
      </c>
      <c r="F23" s="16">
        <f>+'1.mell._Össz_Mérleg2019'!F91</f>
        <v>0</v>
      </c>
      <c r="G23" s="82" t="s">
        <v>172</v>
      </c>
      <c r="H23" s="24">
        <f t="shared" si="3"/>
        <v>0</v>
      </c>
      <c r="I23" s="20">
        <f>+'1.mell._Össz_Mérleg2019'!D197</f>
        <v>0</v>
      </c>
      <c r="J23" s="13">
        <f>+'1.mell._Össz_Mérleg2019'!E197</f>
        <v>0</v>
      </c>
      <c r="K23" s="16">
        <f>+'1.mell._Össz_Mérleg2019'!F197</f>
        <v>0</v>
      </c>
    </row>
    <row r="24" spans="1:11" s="14" customFormat="1">
      <c r="A24" s="102" t="s">
        <v>366</v>
      </c>
      <c r="B24" s="82" t="s">
        <v>249</v>
      </c>
      <c r="C24" s="24">
        <f t="shared" si="2"/>
        <v>0</v>
      </c>
      <c r="D24" s="20">
        <f>+'1.mell._Össz_Mérleg2019'!D92</f>
        <v>0</v>
      </c>
      <c r="E24" s="13">
        <f>+'1.mell._Össz_Mérleg2019'!E92</f>
        <v>0</v>
      </c>
      <c r="F24" s="16">
        <f>+'1.mell._Össz_Mérleg2019'!F92</f>
        <v>0</v>
      </c>
      <c r="G24" s="82" t="s">
        <v>173</v>
      </c>
      <c r="H24" s="24">
        <f t="shared" si="3"/>
        <v>0</v>
      </c>
      <c r="I24" s="20">
        <f>+'1.mell._Össz_Mérleg2019'!D198</f>
        <v>0</v>
      </c>
      <c r="J24" s="13">
        <f>+'1.mell._Össz_Mérleg2019'!E198</f>
        <v>0</v>
      </c>
      <c r="K24" s="16">
        <f>+'1.mell._Össz_Mérleg2019'!F198</f>
        <v>0</v>
      </c>
    </row>
    <row r="25" spans="1:11" s="14" customFormat="1">
      <c r="A25" s="102" t="s">
        <v>367</v>
      </c>
      <c r="B25" s="82" t="s">
        <v>250</v>
      </c>
      <c r="C25" s="24">
        <f t="shared" si="2"/>
        <v>0</v>
      </c>
      <c r="D25" s="20">
        <f>+'1.mell._Össz_Mérleg2019'!D93</f>
        <v>0</v>
      </c>
      <c r="E25" s="13">
        <f>+'1.mell._Össz_Mérleg2019'!E93</f>
        <v>0</v>
      </c>
      <c r="F25" s="16">
        <f>+'1.mell._Össz_Mérleg2019'!F93</f>
        <v>0</v>
      </c>
      <c r="G25" s="82" t="s">
        <v>174</v>
      </c>
      <c r="H25" s="24">
        <f t="shared" si="3"/>
        <v>0</v>
      </c>
      <c r="I25" s="20">
        <f>+'1.mell._Össz_Mérleg2019'!D199</f>
        <v>0</v>
      </c>
      <c r="J25" s="13">
        <f>+'1.mell._Össz_Mérleg2019'!E199</f>
        <v>0</v>
      </c>
      <c r="K25" s="16">
        <f>+'1.mell._Össz_Mérleg2019'!F199</f>
        <v>0</v>
      </c>
    </row>
    <row r="26" spans="1:11" s="14" customFormat="1">
      <c r="A26" s="102" t="s">
        <v>368</v>
      </c>
      <c r="B26" s="82" t="s">
        <v>251</v>
      </c>
      <c r="C26" s="24">
        <f t="shared" si="2"/>
        <v>0</v>
      </c>
      <c r="D26" s="20">
        <f>+'1.mell._Össz_Mérleg2019'!D94</f>
        <v>0</v>
      </c>
      <c r="E26" s="13">
        <f>+'1.mell._Össz_Mérleg2019'!E94</f>
        <v>0</v>
      </c>
      <c r="F26" s="16">
        <f>+'1.mell._Össz_Mérleg2019'!F94</f>
        <v>0</v>
      </c>
      <c r="G26" s="82" t="s">
        <v>179</v>
      </c>
      <c r="H26" s="24">
        <f t="shared" si="3"/>
        <v>0</v>
      </c>
      <c r="I26" s="20">
        <f>+'1.mell._Össz_Mérleg2019'!D200</f>
        <v>0</v>
      </c>
      <c r="J26" s="13">
        <f>+'1.mell._Össz_Mérleg2019'!E200</f>
        <v>0</v>
      </c>
      <c r="K26" s="16">
        <f>+'1.mell._Össz_Mérleg2019'!F200</f>
        <v>0</v>
      </c>
    </row>
    <row r="27" spans="1:11" s="14" customFormat="1">
      <c r="A27" s="102" t="s">
        <v>369</v>
      </c>
      <c r="B27" s="82" t="s">
        <v>252</v>
      </c>
      <c r="C27" s="24">
        <f t="shared" si="2"/>
        <v>0</v>
      </c>
      <c r="D27" s="20">
        <f>+'1.mell._Össz_Mérleg2019'!D95</f>
        <v>0</v>
      </c>
      <c r="E27" s="13">
        <f>+'1.mell._Össz_Mérleg2019'!E95</f>
        <v>0</v>
      </c>
      <c r="F27" s="16">
        <f>+'1.mell._Össz_Mérleg2019'!F95</f>
        <v>0</v>
      </c>
      <c r="G27" s="82" t="s">
        <v>175</v>
      </c>
      <c r="H27" s="24">
        <f t="shared" si="3"/>
        <v>0</v>
      </c>
      <c r="I27" s="20">
        <f>+'1.mell._Össz_Mérleg2019'!D201</f>
        <v>0</v>
      </c>
      <c r="J27" s="13">
        <f>+'1.mell._Össz_Mérleg2019'!E201</f>
        <v>0</v>
      </c>
      <c r="K27" s="16">
        <f>+'1.mell._Össz_Mérleg2019'!F201</f>
        <v>0</v>
      </c>
    </row>
    <row r="28" spans="1:11">
      <c r="A28" s="102" t="s">
        <v>370</v>
      </c>
      <c r="B28" s="82" t="s">
        <v>245</v>
      </c>
      <c r="C28" s="24">
        <f t="shared" si="2"/>
        <v>0</v>
      </c>
      <c r="D28" s="20">
        <f>+'1.mell._Össz_Mérleg2019'!D96</f>
        <v>0</v>
      </c>
      <c r="E28" s="13">
        <f>+'1.mell._Össz_Mérleg2019'!E96</f>
        <v>0</v>
      </c>
      <c r="F28" s="16">
        <f>+'1.mell._Össz_Mérleg2019'!F96</f>
        <v>0</v>
      </c>
      <c r="G28" s="82" t="s">
        <v>176</v>
      </c>
      <c r="H28" s="24">
        <f t="shared" si="3"/>
        <v>0</v>
      </c>
      <c r="I28" s="20">
        <f>+'1.mell._Össz_Mérleg2019'!D202</f>
        <v>0</v>
      </c>
      <c r="J28" s="13">
        <f>+'1.mell._Össz_Mérleg2019'!E202</f>
        <v>0</v>
      </c>
      <c r="K28" s="16">
        <f>+'1.mell._Össz_Mérleg2019'!F202</f>
        <v>0</v>
      </c>
    </row>
    <row r="29" spans="1:11">
      <c r="A29" s="102" t="s">
        <v>953</v>
      </c>
      <c r="B29" s="82" t="s">
        <v>923</v>
      </c>
      <c r="C29" s="24">
        <f>+D29+E29+F29</f>
        <v>0</v>
      </c>
      <c r="D29" s="20">
        <f>+'1.mell._Össz_Mérleg2019'!D97</f>
        <v>0</v>
      </c>
      <c r="E29" s="13">
        <f>+'1.mell._Össz_Mérleg2019'!E97</f>
        <v>0</v>
      </c>
      <c r="F29" s="16">
        <f>+'1.mell._Össz_Mérleg2019'!F97</f>
        <v>0</v>
      </c>
      <c r="G29" s="82" t="s">
        <v>947</v>
      </c>
      <c r="H29" s="24">
        <f>+I29+J29+K29</f>
        <v>0</v>
      </c>
      <c r="I29" s="20">
        <f>+'1.mell._Össz_Mérleg2019'!D203</f>
        <v>0</v>
      </c>
      <c r="J29" s="13">
        <f>+'1.mell._Össz_Mérleg2019'!E203</f>
        <v>0</v>
      </c>
      <c r="K29" s="16">
        <f>+'1.mell._Össz_Mérleg2019'!F203</f>
        <v>0</v>
      </c>
    </row>
    <row r="30" spans="1:11">
      <c r="A30" s="101" t="s">
        <v>67</v>
      </c>
      <c r="B30" s="83" t="s">
        <v>243</v>
      </c>
      <c r="C30" s="23">
        <f t="shared" si="2"/>
        <v>0</v>
      </c>
      <c r="D30" s="21">
        <f>+'1.mell._Össz_Mérleg2019'!D98</f>
        <v>0</v>
      </c>
      <c r="E30" s="12">
        <f>+'1.mell._Össz_Mérleg2019'!E98</f>
        <v>0</v>
      </c>
      <c r="F30" s="17">
        <f>+'1.mell._Össz_Mérleg2019'!F98</f>
        <v>0</v>
      </c>
      <c r="G30" s="83" t="s">
        <v>177</v>
      </c>
      <c r="H30" s="23">
        <f t="shared" si="3"/>
        <v>0</v>
      </c>
      <c r="I30" s="21">
        <f>+'1.mell._Össz_Mérleg2019'!D204</f>
        <v>0</v>
      </c>
      <c r="J30" s="12">
        <f>+'1.mell._Össz_Mérleg2019'!E204</f>
        <v>0</v>
      </c>
      <c r="K30" s="17">
        <f>+'1.mell._Össz_Mérleg2019'!F204</f>
        <v>0</v>
      </c>
    </row>
    <row r="31" spans="1:11" s="3" customFormat="1">
      <c r="A31" s="94" t="s">
        <v>68</v>
      </c>
      <c r="B31" s="84" t="s">
        <v>244</v>
      </c>
      <c r="C31" s="26">
        <f t="shared" si="2"/>
        <v>0</v>
      </c>
      <c r="D31" s="27">
        <f>+'1.mell._Össz_Mérleg2019'!D99</f>
        <v>0</v>
      </c>
      <c r="E31" s="28">
        <f>+'1.mell._Össz_Mérleg2019'!E99</f>
        <v>0</v>
      </c>
      <c r="F31" s="29">
        <f>+'1.mell._Össz_Mérleg2019'!F99</f>
        <v>0</v>
      </c>
      <c r="G31" s="84" t="s">
        <v>178</v>
      </c>
      <c r="H31" s="26">
        <f t="shared" si="3"/>
        <v>0</v>
      </c>
      <c r="I31" s="27">
        <f>+'1.mell._Össz_Mérleg2019'!D205</f>
        <v>0</v>
      </c>
      <c r="J31" s="28">
        <f>+'1.mell._Össz_Mérleg2019'!E205</f>
        <v>0</v>
      </c>
      <c r="K31" s="29">
        <f>+'1.mell._Össz_Mérleg2019'!F205</f>
        <v>0</v>
      </c>
    </row>
    <row r="32" spans="1:11" s="3" customFormat="1" ht="12.75" thickBot="1">
      <c r="A32" s="94" t="s">
        <v>230</v>
      </c>
      <c r="B32" s="84" t="s">
        <v>925</v>
      </c>
      <c r="C32" s="26">
        <f>+D32+E32+F32</f>
        <v>0</v>
      </c>
      <c r="D32" s="27">
        <f>+'1.mell._Össz_Mérleg2019'!D100</f>
        <v>0</v>
      </c>
      <c r="E32" s="28">
        <f>+'1.mell._Össz_Mérleg2019'!E100</f>
        <v>0</v>
      </c>
      <c r="F32" s="29">
        <f>+'1.mell._Össz_Mérleg2019'!F100</f>
        <v>0</v>
      </c>
      <c r="G32" s="84" t="s">
        <v>948</v>
      </c>
      <c r="H32" s="26">
        <f>+I32+J32+K32</f>
        <v>0</v>
      </c>
      <c r="I32" s="27">
        <f>+'1.mell._Össz_Mérleg2019'!D206</f>
        <v>0</v>
      </c>
      <c r="J32" s="28">
        <f>+'1.mell._Össz_Mérleg2019'!E206</f>
        <v>0</v>
      </c>
      <c r="K32" s="29">
        <f>+'1.mell._Össz_Mérleg2019'!F206</f>
        <v>0</v>
      </c>
    </row>
    <row r="33" spans="1:11" s="3" customFormat="1" ht="12.75" thickBot="1">
      <c r="A33" s="97" t="s">
        <v>12</v>
      </c>
      <c r="B33" s="160" t="s">
        <v>393</v>
      </c>
      <c r="C33" s="43">
        <f>+C8+C18</f>
        <v>399248</v>
      </c>
      <c r="D33" s="159">
        <f>+D8+D18</f>
        <v>47748</v>
      </c>
      <c r="E33" s="158">
        <f>+E8+E18</f>
        <v>351500</v>
      </c>
      <c r="F33" s="157">
        <f>+F8+F18</f>
        <v>0</v>
      </c>
      <c r="G33" s="145" t="s">
        <v>397</v>
      </c>
      <c r="H33" s="44">
        <f>+H8+H18</f>
        <v>485974</v>
      </c>
      <c r="I33" s="33">
        <f>+I8+I18</f>
        <v>134674</v>
      </c>
      <c r="J33" s="34">
        <f>+J8+J18</f>
        <v>351300</v>
      </c>
      <c r="K33" s="35">
        <f>+K8+K18</f>
        <v>0</v>
      </c>
    </row>
    <row r="34" spans="1:11" s="3" customFormat="1" ht="12.75" thickBot="1">
      <c r="A34" s="99" t="s">
        <v>11</v>
      </c>
      <c r="B34" s="85" t="s">
        <v>407</v>
      </c>
      <c r="C34" s="167">
        <f>IF(((H8-C8)&gt;0),H8-C8,"----")</f>
        <v>96725</v>
      </c>
      <c r="D34" s="166">
        <f>IF(((I8-D8)&gt;0),I8-D8,"----")</f>
        <v>96925</v>
      </c>
      <c r="E34" s="165" t="str">
        <f>IF(((J8-E8)&gt;0),J8-E8,"----")</f>
        <v>----</v>
      </c>
      <c r="F34" s="164" t="str">
        <f>IF(((K8-F8)&gt;0),K8-F8,"----")</f>
        <v>----</v>
      </c>
      <c r="G34" s="85" t="s">
        <v>396</v>
      </c>
      <c r="H34" s="167" t="str">
        <f>IF(((C8-H8)&gt;0),C8-H8,"----")</f>
        <v>----</v>
      </c>
      <c r="I34" s="166" t="str">
        <f>IF(((D8-I8)&gt;0),D8-I8,"----")</f>
        <v>----</v>
      </c>
      <c r="J34" s="165">
        <f>IF(((E8-J8)&gt;0),E8-J8,"----")</f>
        <v>200</v>
      </c>
      <c r="K34" s="164" t="str">
        <f>IF(((F8-K8)&gt;0),F8-K8,"----")</f>
        <v>----</v>
      </c>
    </row>
    <row r="35" spans="1:11" s="3" customFormat="1" ht="12.75" thickBot="1">
      <c r="A35" s="99" t="s">
        <v>10</v>
      </c>
      <c r="B35" s="85" t="s">
        <v>394</v>
      </c>
      <c r="C35" s="167" t="str">
        <f>IF(((H18-C18)&gt;0),H18-C18,"----")</f>
        <v>----</v>
      </c>
      <c r="D35" s="166" t="str">
        <f>IF(((I18-D18)&gt;0),I18-D18,"----")</f>
        <v>----</v>
      </c>
      <c r="E35" s="165" t="str">
        <f>IF(((J18-E18)&gt;0),J18-E18,"----")</f>
        <v>----</v>
      </c>
      <c r="F35" s="164" t="str">
        <f>IF(((K18-F18)&gt;0),K18-F18,"----")</f>
        <v>----</v>
      </c>
      <c r="G35" s="85" t="s">
        <v>395</v>
      </c>
      <c r="H35" s="167">
        <f>IF(((C18-H18)&gt;0),C18-H18,"----")</f>
        <v>9999</v>
      </c>
      <c r="I35" s="166">
        <f>IF(((D18-I18)&gt;0),D18-I18,"----")</f>
        <v>9999</v>
      </c>
      <c r="J35" s="165" t="str">
        <f>IF(((E18-J18)&gt;0),E18-J18,"----")</f>
        <v>----</v>
      </c>
      <c r="K35" s="164" t="str">
        <f>IF(((F18-K18)&gt;0),F18-K18,"----")</f>
        <v>----</v>
      </c>
    </row>
    <row r="37" spans="1:11" hidden="1">
      <c r="C37" s="4">
        <f>+C33+'2.a.mell._MMérleg2019'!C33</f>
        <v>4623219</v>
      </c>
      <c r="D37" s="4">
        <f>+D33+'2.a.mell._MMérleg2019'!D33</f>
        <v>4227059</v>
      </c>
      <c r="E37" s="4">
        <f>+E33+'2.a.mell._MMérleg2019'!E33</f>
        <v>396160</v>
      </c>
      <c r="F37" s="4">
        <f>+F33+'2.a.mell._MMérleg2019'!F33</f>
        <v>0</v>
      </c>
      <c r="H37" s="4">
        <f>+H33+'2.a.mell._MMérleg2019'!H33</f>
        <v>4623219</v>
      </c>
      <c r="I37" s="4">
        <f>+I33+'2.a.mell._MMérleg2019'!I33</f>
        <v>4211133</v>
      </c>
      <c r="J37" s="4">
        <f>+J33+'2.a.mell._MMérleg2019'!J33</f>
        <v>412086</v>
      </c>
      <c r="K37" s="4">
        <f>+K33+'2.a.mell._MMérleg2019'!K33</f>
        <v>0</v>
      </c>
    </row>
    <row r="38" spans="1:11" hidden="1">
      <c r="C38" s="4">
        <f>+'1.mell._Össz_Mérleg2019'!C102</f>
        <v>4623219</v>
      </c>
      <c r="D38" s="4">
        <f>+'1.mell._Össz_Mérleg2019'!D102</f>
        <v>4227059</v>
      </c>
      <c r="E38" s="4">
        <f>+'1.mell._Össz_Mérleg2019'!E102</f>
        <v>396160</v>
      </c>
      <c r="F38" s="4">
        <f>+'1.mell._Össz_Mérleg2019'!F102</f>
        <v>0</v>
      </c>
      <c r="H38" s="4">
        <f>+'1.mell._Össz_Mérleg2019'!C208</f>
        <v>4623219</v>
      </c>
      <c r="I38" s="4">
        <f>+'1.mell._Össz_Mérleg2019'!D208</f>
        <v>4211133</v>
      </c>
      <c r="J38" s="4">
        <f>+'1.mell._Össz_Mérleg2019'!E208</f>
        <v>412086</v>
      </c>
      <c r="K38" s="4">
        <f>+'1.mell._Össz_Mérleg2019'!F208</f>
        <v>0</v>
      </c>
    </row>
    <row r="39" spans="1:11" hidden="1">
      <c r="C39" s="4">
        <f>+C37-C38</f>
        <v>0</v>
      </c>
      <c r="D39" s="4">
        <f>+D37-D38</f>
        <v>0</v>
      </c>
      <c r="E39" s="4">
        <f>+E37-E38</f>
        <v>0</v>
      </c>
      <c r="F39" s="4">
        <f>+F37-F38</f>
        <v>0</v>
      </c>
      <c r="H39" s="4">
        <f>+H37-H38</f>
        <v>0</v>
      </c>
      <c r="I39" s="4">
        <f>+I37-I38</f>
        <v>0</v>
      </c>
      <c r="J39" s="4">
        <f>+J37-J38</f>
        <v>0</v>
      </c>
      <c r="K39" s="4">
        <f>+K37-K38</f>
        <v>0</v>
      </c>
    </row>
  </sheetData>
  <mergeCells count="4">
    <mergeCell ref="A3:K3"/>
    <mergeCell ref="A4:K4"/>
    <mergeCell ref="C7:F7"/>
    <mergeCell ref="H7:K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5">
    <tabColor rgb="FF00B0F0"/>
    <pageSetUpPr fitToPage="1"/>
  </sheetPr>
  <dimension ref="A1:J79"/>
  <sheetViews>
    <sheetView zoomScaleNormal="100" workbookViewId="0"/>
  </sheetViews>
  <sheetFormatPr defaultRowHeight="12"/>
  <cols>
    <col min="1" max="1" width="78.5703125" style="454" bestFit="1" customWidth="1"/>
    <col min="2" max="2" width="11.7109375" style="454" customWidth="1"/>
    <col min="3" max="3" width="11.140625" style="454" bestFit="1" customWidth="1"/>
    <col min="4" max="5" width="13.140625" style="454" customWidth="1"/>
    <col min="6" max="7" width="9.140625" style="454"/>
    <col min="8" max="8" width="0" style="454" hidden="1" customWidth="1"/>
    <col min="9" max="9" width="0" style="762" hidden="1" customWidth="1"/>
    <col min="10" max="10" width="0" style="454" hidden="1" customWidth="1"/>
    <col min="11" max="16384" width="9.140625" style="454"/>
  </cols>
  <sheetData>
    <row r="1" spans="1:10" s="650" customFormat="1" ht="15.75">
      <c r="A1" s="649"/>
      <c r="B1" s="649"/>
      <c r="C1" s="649"/>
      <c r="D1" s="649"/>
      <c r="E1" s="649"/>
      <c r="F1" s="1197" t="s">
        <v>425</v>
      </c>
      <c r="I1" s="1198"/>
    </row>
    <row r="2" spans="1:10" s="650" customFormat="1" ht="15.75">
      <c r="I2" s="1198"/>
    </row>
    <row r="3" spans="1:10" s="945" customFormat="1" ht="15.75">
      <c r="A3" s="1465" t="s">
        <v>331</v>
      </c>
      <c r="B3" s="1465"/>
      <c r="C3" s="1465"/>
      <c r="D3" s="1465"/>
      <c r="E3" s="1465"/>
      <c r="F3" s="1465"/>
      <c r="I3" s="1199"/>
    </row>
    <row r="4" spans="1:10" s="945" customFormat="1" ht="15.75">
      <c r="A4" s="1465" t="s">
        <v>1322</v>
      </c>
      <c r="B4" s="1465"/>
      <c r="C4" s="1465"/>
      <c r="D4" s="1465"/>
      <c r="E4" s="1465"/>
      <c r="F4" s="1465"/>
      <c r="I4" s="1199"/>
    </row>
    <row r="5" spans="1:10" ht="12.75" thickBot="1">
      <c r="A5" s="975"/>
      <c r="B5" s="975"/>
      <c r="C5" s="975"/>
      <c r="D5" s="975"/>
      <c r="E5" s="975"/>
      <c r="F5" s="975"/>
    </row>
    <row r="6" spans="1:10" s="853" customFormat="1" ht="12.75" customHeight="1" thickBot="1">
      <c r="A6" s="1457" t="s">
        <v>7</v>
      </c>
      <c r="B6" s="1460" t="s">
        <v>1323</v>
      </c>
      <c r="C6" s="1462" t="s">
        <v>1323</v>
      </c>
      <c r="D6" s="1463"/>
      <c r="E6" s="1463"/>
      <c r="F6" s="1464"/>
      <c r="I6" s="1200"/>
    </row>
    <row r="7" spans="1:10" s="853" customFormat="1" ht="48.75" thickBot="1">
      <c r="A7" s="1458"/>
      <c r="B7" s="1461"/>
      <c r="C7" s="1201" t="s">
        <v>408</v>
      </c>
      <c r="D7" s="178" t="s">
        <v>409</v>
      </c>
      <c r="E7" s="1202" t="s">
        <v>410</v>
      </c>
      <c r="F7" s="1203" t="s">
        <v>18</v>
      </c>
      <c r="I7" s="1200"/>
    </row>
    <row r="8" spans="1:10">
      <c r="A8" s="1204"/>
      <c r="B8" s="1205"/>
      <c r="C8" s="1205"/>
      <c r="D8" s="170"/>
      <c r="E8" s="170"/>
      <c r="F8" s="1206"/>
    </row>
    <row r="9" spans="1:10">
      <c r="A9" s="1207" t="s">
        <v>411</v>
      </c>
      <c r="B9" s="1208">
        <f>+B10</f>
        <v>1</v>
      </c>
      <c r="C9" s="1208">
        <f>+C10</f>
        <v>1</v>
      </c>
      <c r="D9" s="1209">
        <f>+D10</f>
        <v>0</v>
      </c>
      <c r="E9" s="1209">
        <f>+E10</f>
        <v>0</v>
      </c>
      <c r="F9" s="1210">
        <f>+F10</f>
        <v>1</v>
      </c>
      <c r="H9" s="761">
        <f t="shared" ref="H9:H15" si="0">+F9-B9</f>
        <v>0</v>
      </c>
    </row>
    <row r="10" spans="1:10">
      <c r="A10" s="1211" t="s">
        <v>1254</v>
      </c>
      <c r="B10" s="867">
        <v>1</v>
      </c>
      <c r="C10" s="867">
        <f>+B10</f>
        <v>1</v>
      </c>
      <c r="D10" s="1212"/>
      <c r="E10" s="1212"/>
      <c r="F10" s="1210">
        <f>+E10+D10+C10</f>
        <v>1</v>
      </c>
      <c r="H10" s="761">
        <f t="shared" si="0"/>
        <v>0</v>
      </c>
    </row>
    <row r="11" spans="1:10">
      <c r="A11" s="1207" t="s">
        <v>412</v>
      </c>
      <c r="B11" s="1208">
        <f>+B12</f>
        <v>0</v>
      </c>
      <c r="C11" s="1208">
        <f>+C12</f>
        <v>0</v>
      </c>
      <c r="D11" s="1209">
        <f>+D12</f>
        <v>0</v>
      </c>
      <c r="E11" s="1209">
        <f>+E12</f>
        <v>0</v>
      </c>
      <c r="F11" s="1210">
        <f>+F12</f>
        <v>0</v>
      </c>
      <c r="H11" s="761">
        <f t="shared" si="0"/>
        <v>0</v>
      </c>
    </row>
    <row r="12" spans="1:10">
      <c r="A12" s="1213" t="s">
        <v>19</v>
      </c>
      <c r="B12" s="867"/>
      <c r="C12" s="867"/>
      <c r="D12" s="1212"/>
      <c r="E12" s="1212"/>
      <c r="F12" s="1210">
        <f>+E12+D12+C12</f>
        <v>0</v>
      </c>
      <c r="H12" s="761">
        <f t="shared" si="0"/>
        <v>0</v>
      </c>
    </row>
    <row r="13" spans="1:10">
      <c r="A13" s="1207" t="s">
        <v>413</v>
      </c>
      <c r="B13" s="1208">
        <f>+B14</f>
        <v>0</v>
      </c>
      <c r="C13" s="1208">
        <f>+C14</f>
        <v>0</v>
      </c>
      <c r="D13" s="1209">
        <f>+D14</f>
        <v>0</v>
      </c>
      <c r="E13" s="1209">
        <f>+E14</f>
        <v>0</v>
      </c>
      <c r="F13" s="1210">
        <f>+F14</f>
        <v>0</v>
      </c>
      <c r="H13" s="761">
        <f t="shared" si="0"/>
        <v>0</v>
      </c>
    </row>
    <row r="14" spans="1:10" ht="12.75" thickBot="1">
      <c r="A14" s="1214" t="s">
        <v>19</v>
      </c>
      <c r="B14" s="1215"/>
      <c r="C14" s="1215"/>
      <c r="D14" s="1216"/>
      <c r="E14" s="1216"/>
      <c r="F14" s="1210">
        <f>+E14+D14+C14</f>
        <v>0</v>
      </c>
      <c r="H14" s="761">
        <f t="shared" si="0"/>
        <v>0</v>
      </c>
    </row>
    <row r="15" spans="1:10" ht="12.75" thickBot="1">
      <c r="A15" s="172" t="s">
        <v>414</v>
      </c>
      <c r="B15" s="1217">
        <f>+B9+B11+B13</f>
        <v>1</v>
      </c>
      <c r="C15" s="1217">
        <f>+C9+C11+C13</f>
        <v>1</v>
      </c>
      <c r="D15" s="1218">
        <f>+D9+D11+D13</f>
        <v>0</v>
      </c>
      <c r="E15" s="1219">
        <f>+E9+E11+E13</f>
        <v>0</v>
      </c>
      <c r="F15" s="1220">
        <f>+F9+F11+F13</f>
        <v>1</v>
      </c>
      <c r="H15" s="761">
        <f t="shared" si="0"/>
        <v>0</v>
      </c>
      <c r="I15" s="762">
        <f>+'1.1.mell._ÖNK_Mérleg2019'!C239</f>
        <v>1</v>
      </c>
      <c r="J15" s="761">
        <f>+B15-I15</f>
        <v>0</v>
      </c>
    </row>
    <row r="16" spans="1:10">
      <c r="A16" s="758"/>
      <c r="B16" s="759"/>
      <c r="C16" s="759"/>
      <c r="D16" s="171"/>
      <c r="E16" s="171"/>
      <c r="F16" s="760"/>
      <c r="H16" s="761"/>
    </row>
    <row r="17" spans="1:10">
      <c r="A17" s="1207" t="s">
        <v>879</v>
      </c>
      <c r="B17" s="1208">
        <f>+B18+B19+B20</f>
        <v>84</v>
      </c>
      <c r="C17" s="1208">
        <f>+C18+C19+C20</f>
        <v>43</v>
      </c>
      <c r="D17" s="1209">
        <f>+D18+D19+D20</f>
        <v>0</v>
      </c>
      <c r="E17" s="1209">
        <f>+E18+E19+E20</f>
        <v>41</v>
      </c>
      <c r="F17" s="1210">
        <f>+F18+F19+F20</f>
        <v>84</v>
      </c>
      <c r="H17" s="761">
        <f t="shared" ref="H17:H26" si="1">+F17-B17</f>
        <v>0</v>
      </c>
    </row>
    <row r="18" spans="1:10">
      <c r="A18" s="1211" t="s">
        <v>674</v>
      </c>
      <c r="B18" s="867">
        <v>43</v>
      </c>
      <c r="C18" s="867">
        <f>+B18</f>
        <v>43</v>
      </c>
      <c r="D18" s="1212"/>
      <c r="E18" s="1212"/>
      <c r="F18" s="1210">
        <f>+E18+D18+C18</f>
        <v>43</v>
      </c>
      <c r="H18" s="761">
        <f t="shared" si="1"/>
        <v>0</v>
      </c>
    </row>
    <row r="19" spans="1:10">
      <c r="A19" s="1211" t="s">
        <v>416</v>
      </c>
      <c r="B19" s="867">
        <v>20</v>
      </c>
      <c r="C19" s="867"/>
      <c r="D19" s="1212"/>
      <c r="E19" s="1212">
        <f>+B19</f>
        <v>20</v>
      </c>
      <c r="F19" s="1210">
        <f>+E19+D19+C19</f>
        <v>20</v>
      </c>
      <c r="H19" s="761">
        <f t="shared" si="1"/>
        <v>0</v>
      </c>
    </row>
    <row r="20" spans="1:10">
      <c r="A20" s="1211" t="s">
        <v>1055</v>
      </c>
      <c r="B20" s="867">
        <v>21</v>
      </c>
      <c r="C20" s="867"/>
      <c r="D20" s="1212"/>
      <c r="E20" s="1212">
        <f>+B20</f>
        <v>21</v>
      </c>
      <c r="F20" s="1210">
        <f>+E20+D20+C20</f>
        <v>21</v>
      </c>
      <c r="H20" s="761">
        <f t="shared" si="1"/>
        <v>0</v>
      </c>
    </row>
    <row r="21" spans="1:10">
      <c r="A21" s="1207" t="s">
        <v>880</v>
      </c>
      <c r="B21" s="1208">
        <f>+B22+B23</f>
        <v>6</v>
      </c>
      <c r="C21" s="1208">
        <f>+C22+C23</f>
        <v>2</v>
      </c>
      <c r="D21" s="1209">
        <f>+D22+D23</f>
        <v>0</v>
      </c>
      <c r="E21" s="1209">
        <f>+E22+E23</f>
        <v>4</v>
      </c>
      <c r="F21" s="1210">
        <f>+F22+F23</f>
        <v>6</v>
      </c>
      <c r="H21" s="761">
        <f t="shared" si="1"/>
        <v>0</v>
      </c>
    </row>
    <row r="22" spans="1:10">
      <c r="A22" s="1211" t="s">
        <v>417</v>
      </c>
      <c r="B22" s="867">
        <v>4</v>
      </c>
      <c r="C22" s="867"/>
      <c r="D22" s="1212"/>
      <c r="E22" s="1212">
        <f>+B22</f>
        <v>4</v>
      </c>
      <c r="F22" s="1210">
        <f>+E22+D22+C22</f>
        <v>4</v>
      </c>
      <c r="H22" s="761">
        <f t="shared" si="1"/>
        <v>0</v>
      </c>
    </row>
    <row r="23" spans="1:10">
      <c r="A23" s="1211" t="s">
        <v>656</v>
      </c>
      <c r="B23" s="867">
        <v>2</v>
      </c>
      <c r="C23" s="867">
        <f>+B23</f>
        <v>2</v>
      </c>
      <c r="D23" s="1212"/>
      <c r="E23" s="1212"/>
      <c r="F23" s="1210">
        <f>+E23+D23+C23</f>
        <v>2</v>
      </c>
      <c r="H23" s="761">
        <f t="shared" si="1"/>
        <v>0</v>
      </c>
    </row>
    <row r="24" spans="1:10">
      <c r="A24" s="1207" t="s">
        <v>881</v>
      </c>
      <c r="B24" s="1208">
        <f>+B25</f>
        <v>0</v>
      </c>
      <c r="C24" s="1208">
        <f>+C25</f>
        <v>0</v>
      </c>
      <c r="D24" s="1209">
        <f>+D25</f>
        <v>0</v>
      </c>
      <c r="E24" s="1209">
        <f>+E25</f>
        <v>0</v>
      </c>
      <c r="F24" s="1210">
        <f>+F25</f>
        <v>0</v>
      </c>
      <c r="H24" s="761">
        <f t="shared" si="1"/>
        <v>0</v>
      </c>
    </row>
    <row r="25" spans="1:10" ht="12.75" thickBot="1">
      <c r="A25" s="1214" t="s">
        <v>19</v>
      </c>
      <c r="B25" s="1215"/>
      <c r="C25" s="1215"/>
      <c r="D25" s="1216"/>
      <c r="E25" s="1216"/>
      <c r="F25" s="1210">
        <f>+E25+D25+C25</f>
        <v>0</v>
      </c>
      <c r="H25" s="761">
        <f t="shared" si="1"/>
        <v>0</v>
      </c>
    </row>
    <row r="26" spans="1:10" ht="12.75" thickBot="1">
      <c r="A26" s="172" t="s">
        <v>882</v>
      </c>
      <c r="B26" s="1217">
        <f>+B17+B21+B24</f>
        <v>90</v>
      </c>
      <c r="C26" s="1217">
        <f>+C17+C21+C24</f>
        <v>45</v>
      </c>
      <c r="D26" s="1218">
        <f>+D17+D21+D24</f>
        <v>0</v>
      </c>
      <c r="E26" s="1219">
        <f>+E17+E21+E24</f>
        <v>45</v>
      </c>
      <c r="F26" s="1220">
        <f>+F17+F21+F24</f>
        <v>90</v>
      </c>
      <c r="H26" s="761">
        <f t="shared" si="1"/>
        <v>0</v>
      </c>
      <c r="I26" s="762">
        <f>+'1.2.mell._HKÖH_Mérleg2019'!C239</f>
        <v>90</v>
      </c>
      <c r="J26" s="761">
        <f>+B26-I26</f>
        <v>0</v>
      </c>
    </row>
    <row r="27" spans="1:10">
      <c r="A27" s="758"/>
      <c r="B27" s="759"/>
      <c r="C27" s="759"/>
      <c r="D27" s="171"/>
      <c r="E27" s="171"/>
      <c r="F27" s="760"/>
      <c r="H27" s="761"/>
    </row>
    <row r="28" spans="1:10">
      <c r="A28" s="763" t="s">
        <v>418</v>
      </c>
      <c r="B28" s="1208">
        <f>+B29+B30</f>
        <v>69</v>
      </c>
      <c r="C28" s="1208">
        <f>+C29+C30</f>
        <v>0</v>
      </c>
      <c r="D28" s="1209">
        <f>+D29+D30</f>
        <v>69</v>
      </c>
      <c r="E28" s="1209">
        <f>+E29+E30</f>
        <v>0</v>
      </c>
      <c r="F28" s="1210">
        <f>+F29+F30</f>
        <v>69</v>
      </c>
      <c r="H28" s="761">
        <f t="shared" ref="H28:H35" si="2">+F28-B28</f>
        <v>0</v>
      </c>
    </row>
    <row r="29" spans="1:10">
      <c r="A29" s="1213" t="s">
        <v>1095</v>
      </c>
      <c r="B29" s="867">
        <v>59</v>
      </c>
      <c r="C29" s="867"/>
      <c r="D29" s="1212">
        <f>+B29</f>
        <v>59</v>
      </c>
      <c r="E29" s="1212"/>
      <c r="F29" s="1210">
        <f>+E29+D29+C29</f>
        <v>59</v>
      </c>
      <c r="H29" s="761">
        <f t="shared" si="2"/>
        <v>0</v>
      </c>
    </row>
    <row r="30" spans="1:10">
      <c r="A30" s="1213" t="s">
        <v>581</v>
      </c>
      <c r="B30" s="867">
        <v>10</v>
      </c>
      <c r="C30" s="867"/>
      <c r="D30" s="1212">
        <f>+B30</f>
        <v>10</v>
      </c>
      <c r="E30" s="1212"/>
      <c r="F30" s="1210">
        <f>+E30+D30+C30</f>
        <v>10</v>
      </c>
      <c r="H30" s="761">
        <f t="shared" si="2"/>
        <v>0</v>
      </c>
    </row>
    <row r="31" spans="1:10">
      <c r="A31" s="763" t="s">
        <v>419</v>
      </c>
      <c r="B31" s="1208">
        <f>+B32</f>
        <v>0</v>
      </c>
      <c r="C31" s="1208">
        <f>+C32</f>
        <v>0</v>
      </c>
      <c r="D31" s="1209">
        <f>+D32</f>
        <v>0</v>
      </c>
      <c r="E31" s="1209">
        <f>+E32</f>
        <v>0</v>
      </c>
      <c r="F31" s="1210">
        <f>+F32</f>
        <v>0</v>
      </c>
      <c r="H31" s="761">
        <f t="shared" si="2"/>
        <v>0</v>
      </c>
    </row>
    <row r="32" spans="1:10">
      <c r="A32" s="1213" t="s">
        <v>19</v>
      </c>
      <c r="B32" s="867"/>
      <c r="C32" s="867"/>
      <c r="D32" s="1212"/>
      <c r="E32" s="1212"/>
      <c r="F32" s="1210">
        <f>+E32+D32+C32</f>
        <v>0</v>
      </c>
      <c r="H32" s="761">
        <f t="shared" si="2"/>
        <v>0</v>
      </c>
    </row>
    <row r="33" spans="1:10">
      <c r="A33" s="1207" t="s">
        <v>775</v>
      </c>
      <c r="B33" s="1208">
        <f>+B34</f>
        <v>0</v>
      </c>
      <c r="C33" s="1208">
        <f>+C34</f>
        <v>0</v>
      </c>
      <c r="D33" s="1209">
        <f>+D34</f>
        <v>0</v>
      </c>
      <c r="E33" s="1209">
        <f>+E34</f>
        <v>0</v>
      </c>
      <c r="F33" s="1210">
        <f>+F34</f>
        <v>0</v>
      </c>
      <c r="H33" s="761">
        <f t="shared" si="2"/>
        <v>0</v>
      </c>
    </row>
    <row r="34" spans="1:10" ht="12.75" thickBot="1">
      <c r="A34" s="1213" t="s">
        <v>19</v>
      </c>
      <c r="B34" s="1215"/>
      <c r="C34" s="1215"/>
      <c r="D34" s="1216"/>
      <c r="E34" s="1216"/>
      <c r="F34" s="1210">
        <f>+E34+D34+C34</f>
        <v>0</v>
      </c>
      <c r="H34" s="761">
        <f t="shared" si="2"/>
        <v>0</v>
      </c>
    </row>
    <row r="35" spans="1:10" ht="12.75" thickBot="1">
      <c r="A35" s="172" t="s">
        <v>420</v>
      </c>
      <c r="B35" s="1217">
        <f>+B28+B31+B33</f>
        <v>69</v>
      </c>
      <c r="C35" s="1217">
        <f>+C28+C31+C33</f>
        <v>0</v>
      </c>
      <c r="D35" s="1218">
        <f>+D28+D31+D33</f>
        <v>69</v>
      </c>
      <c r="E35" s="1219">
        <f>+E28+E31+E33</f>
        <v>0</v>
      </c>
      <c r="F35" s="1220">
        <f>+F28+F31+F33</f>
        <v>69</v>
      </c>
      <c r="H35" s="761">
        <f t="shared" si="2"/>
        <v>0</v>
      </c>
      <c r="I35" s="762">
        <f>+'1.3.mell._HVÓBKI_Mérleg2019'!C239</f>
        <v>69</v>
      </c>
      <c r="J35" s="761">
        <f>+B35-I35</f>
        <v>0</v>
      </c>
    </row>
    <row r="36" spans="1:10">
      <c r="A36" s="758"/>
      <c r="B36" s="759"/>
      <c r="C36" s="759"/>
      <c r="D36" s="171"/>
      <c r="E36" s="171"/>
      <c r="F36" s="760"/>
      <c r="H36" s="761"/>
    </row>
    <row r="37" spans="1:10">
      <c r="A37" s="763" t="s">
        <v>421</v>
      </c>
      <c r="B37" s="1208">
        <f>+B38+B39+B40</f>
        <v>9</v>
      </c>
      <c r="C37" s="1208">
        <f>+C38+C39+C40</f>
        <v>0</v>
      </c>
      <c r="D37" s="1209">
        <f>+D38+D39+D40</f>
        <v>9</v>
      </c>
      <c r="E37" s="1209">
        <f>+E38+E39+E40</f>
        <v>0</v>
      </c>
      <c r="F37" s="1210">
        <f>+F38+F39+F40</f>
        <v>9</v>
      </c>
      <c r="H37" s="761">
        <f t="shared" ref="H37:H45" si="3">+F37-B37</f>
        <v>0</v>
      </c>
    </row>
    <row r="38" spans="1:10">
      <c r="A38" s="1213" t="s">
        <v>1106</v>
      </c>
      <c r="B38" s="867">
        <v>4</v>
      </c>
      <c r="C38" s="867"/>
      <c r="D38" s="1212">
        <f>+B38</f>
        <v>4</v>
      </c>
      <c r="E38" s="1212"/>
      <c r="F38" s="1210">
        <f>+E38+D38+C38</f>
        <v>4</v>
      </c>
      <c r="H38" s="761">
        <f t="shared" si="3"/>
        <v>0</v>
      </c>
    </row>
    <row r="39" spans="1:10">
      <c r="A39" s="1213" t="s">
        <v>1112</v>
      </c>
      <c r="B39" s="867">
        <v>1</v>
      </c>
      <c r="C39" s="867"/>
      <c r="D39" s="1212">
        <f>+B39</f>
        <v>1</v>
      </c>
      <c r="E39" s="1212"/>
      <c r="F39" s="1210">
        <f>+E39+D39+C39</f>
        <v>1</v>
      </c>
      <c r="H39" s="761">
        <f t="shared" si="3"/>
        <v>0</v>
      </c>
    </row>
    <row r="40" spans="1:10">
      <c r="A40" s="1213" t="s">
        <v>1113</v>
      </c>
      <c r="B40" s="867">
        <v>4</v>
      </c>
      <c r="C40" s="867"/>
      <c r="D40" s="1212">
        <f>+B40</f>
        <v>4</v>
      </c>
      <c r="E40" s="1212"/>
      <c r="F40" s="1210">
        <f>+E40+D40+C40</f>
        <v>4</v>
      </c>
      <c r="H40" s="761">
        <f t="shared" si="3"/>
        <v>0</v>
      </c>
    </row>
    <row r="41" spans="1:10">
      <c r="A41" s="763" t="s">
        <v>422</v>
      </c>
      <c r="B41" s="1208">
        <f>+B42</f>
        <v>0</v>
      </c>
      <c r="C41" s="1208">
        <f>+C42</f>
        <v>0</v>
      </c>
      <c r="D41" s="1209">
        <f>+D42</f>
        <v>0</v>
      </c>
      <c r="E41" s="1209">
        <f>+E42</f>
        <v>0</v>
      </c>
      <c r="F41" s="1210">
        <f>+F42</f>
        <v>0</v>
      </c>
      <c r="H41" s="761">
        <f t="shared" si="3"/>
        <v>0</v>
      </c>
    </row>
    <row r="42" spans="1:10">
      <c r="A42" s="1213" t="s">
        <v>19</v>
      </c>
      <c r="B42" s="867"/>
      <c r="C42" s="867"/>
      <c r="D42" s="1212"/>
      <c r="E42" s="1212"/>
      <c r="F42" s="1210">
        <f>+E42+D42+C42</f>
        <v>0</v>
      </c>
      <c r="H42" s="761">
        <f t="shared" si="3"/>
        <v>0</v>
      </c>
    </row>
    <row r="43" spans="1:10">
      <c r="A43" s="1207" t="s">
        <v>776</v>
      </c>
      <c r="B43" s="1208">
        <f>+B44</f>
        <v>0</v>
      </c>
      <c r="C43" s="1208">
        <f>+C44</f>
        <v>0</v>
      </c>
      <c r="D43" s="1209">
        <f>+D44</f>
        <v>0</v>
      </c>
      <c r="E43" s="1209">
        <f>+E44</f>
        <v>0</v>
      </c>
      <c r="F43" s="1210">
        <f>+F44</f>
        <v>0</v>
      </c>
      <c r="H43" s="761">
        <f t="shared" si="3"/>
        <v>0</v>
      </c>
    </row>
    <row r="44" spans="1:10" ht="12.75" thickBot="1">
      <c r="A44" s="1213" t="s">
        <v>19</v>
      </c>
      <c r="B44" s="1215"/>
      <c r="C44" s="1215"/>
      <c r="D44" s="1216"/>
      <c r="E44" s="1216"/>
      <c r="F44" s="1210">
        <f>+E44+D44+C44</f>
        <v>0</v>
      </c>
      <c r="H44" s="761">
        <f t="shared" si="3"/>
        <v>0</v>
      </c>
    </row>
    <row r="45" spans="1:10" ht="12.75" thickBot="1">
      <c r="A45" s="172" t="s">
        <v>423</v>
      </c>
      <c r="B45" s="1217">
        <f>+B37+B41+B43</f>
        <v>9</v>
      </c>
      <c r="C45" s="1217">
        <f>+C37+C41+C43</f>
        <v>0</v>
      </c>
      <c r="D45" s="1218">
        <f>+D37+D41+D43</f>
        <v>9</v>
      </c>
      <c r="E45" s="1219">
        <f>+E37+E41+E43</f>
        <v>0</v>
      </c>
      <c r="F45" s="1220">
        <f>+F37+F41+F43</f>
        <v>9</v>
      </c>
      <c r="H45" s="761">
        <f t="shared" si="3"/>
        <v>0</v>
      </c>
      <c r="I45" s="762">
        <f>+'1.4.mell._HKK_Mérleg2019'!C239</f>
        <v>9</v>
      </c>
      <c r="J45" s="761">
        <f>+B45-I45</f>
        <v>0</v>
      </c>
    </row>
    <row r="46" spans="1:10">
      <c r="A46" s="758"/>
      <c r="B46" s="759"/>
      <c r="C46" s="759"/>
      <c r="D46" s="171"/>
      <c r="E46" s="171"/>
      <c r="F46" s="760"/>
      <c r="H46" s="761"/>
    </row>
    <row r="47" spans="1:10">
      <c r="A47" s="763" t="s">
        <v>870</v>
      </c>
      <c r="B47" s="1208">
        <f>+B48</f>
        <v>0</v>
      </c>
      <c r="C47" s="1208">
        <f>+C48</f>
        <v>0</v>
      </c>
      <c r="D47" s="1209">
        <f>+D48</f>
        <v>0</v>
      </c>
      <c r="E47" s="1209">
        <f>+E48</f>
        <v>0</v>
      </c>
      <c r="F47" s="1210">
        <f>+F48</f>
        <v>0</v>
      </c>
      <c r="H47" s="761">
        <f>+F47-B47</f>
        <v>0</v>
      </c>
    </row>
    <row r="48" spans="1:10">
      <c r="A48" s="1213" t="s">
        <v>19</v>
      </c>
      <c r="B48" s="867"/>
      <c r="C48" s="867"/>
      <c r="D48" s="1212"/>
      <c r="E48" s="1212"/>
      <c r="F48" s="1210">
        <f>+E48+D48+C48</f>
        <v>0</v>
      </c>
      <c r="H48" s="761">
        <f>+F48-B48</f>
        <v>0</v>
      </c>
    </row>
    <row r="49" spans="1:10">
      <c r="A49" s="763" t="s">
        <v>871</v>
      </c>
      <c r="B49" s="1208">
        <f>+B50</f>
        <v>3</v>
      </c>
      <c r="C49" s="1208">
        <f>+C50</f>
        <v>0</v>
      </c>
      <c r="D49" s="1209">
        <f>+D50</f>
        <v>3</v>
      </c>
      <c r="E49" s="1209">
        <f>+E50</f>
        <v>0</v>
      </c>
      <c r="F49" s="1210">
        <f>+F50</f>
        <v>3</v>
      </c>
      <c r="H49" s="761">
        <f>+F49-B49</f>
        <v>0</v>
      </c>
    </row>
    <row r="50" spans="1:10">
      <c r="A50" s="1213" t="s">
        <v>1092</v>
      </c>
      <c r="B50" s="867">
        <v>3</v>
      </c>
      <c r="C50" s="867"/>
      <c r="D50" s="1212">
        <f>+B50</f>
        <v>3</v>
      </c>
      <c r="E50" s="1212"/>
      <c r="F50" s="1210">
        <f>+E50+D50+C50</f>
        <v>3</v>
      </c>
      <c r="H50" s="761">
        <f>+F50-B50</f>
        <v>0</v>
      </c>
    </row>
    <row r="51" spans="1:10">
      <c r="A51" s="1207" t="s">
        <v>898</v>
      </c>
      <c r="B51" s="1208">
        <f>+B52</f>
        <v>0</v>
      </c>
      <c r="C51" s="1208">
        <f>+C52</f>
        <v>0</v>
      </c>
      <c r="D51" s="1209">
        <f>+D52</f>
        <v>0</v>
      </c>
      <c r="E51" s="1209">
        <f>+E52</f>
        <v>0</v>
      </c>
      <c r="F51" s="1210">
        <f>+F52</f>
        <v>0</v>
      </c>
      <c r="H51" s="761"/>
    </row>
    <row r="52" spans="1:10" ht="12.75" thickBot="1">
      <c r="A52" s="1213" t="s">
        <v>19</v>
      </c>
      <c r="B52" s="1215"/>
      <c r="C52" s="1215"/>
      <c r="D52" s="1216"/>
      <c r="E52" s="1216"/>
      <c r="F52" s="1210">
        <f>+E52+D52+C52</f>
        <v>0</v>
      </c>
      <c r="H52" s="761">
        <f>+F52-B52</f>
        <v>0</v>
      </c>
    </row>
    <row r="53" spans="1:10" ht="12.75" thickBot="1">
      <c r="A53" s="172" t="s">
        <v>872</v>
      </c>
      <c r="B53" s="1217">
        <f>+B47+B49+B51</f>
        <v>3</v>
      </c>
      <c r="C53" s="1217">
        <f>+C47+C49+C51</f>
        <v>0</v>
      </c>
      <c r="D53" s="1218">
        <f>+D47+D49+D51</f>
        <v>3</v>
      </c>
      <c r="E53" s="1219">
        <f>+E47+E49+E51</f>
        <v>0</v>
      </c>
      <c r="F53" s="1220">
        <f>+F47+F49+F51</f>
        <v>3</v>
      </c>
      <c r="H53" s="761">
        <f>+F53-B53</f>
        <v>0</v>
      </c>
      <c r="I53" s="762">
        <f>+'1.5._mell._MŐSZ_Mérleg2019'!C239</f>
        <v>3</v>
      </c>
      <c r="J53" s="761">
        <f>+B53-I53</f>
        <v>0</v>
      </c>
    </row>
    <row r="54" spans="1:10">
      <c r="A54" s="758"/>
      <c r="B54" s="759"/>
      <c r="C54" s="759"/>
      <c r="D54" s="171"/>
      <c r="E54" s="171"/>
      <c r="F54" s="760"/>
      <c r="H54" s="761"/>
    </row>
    <row r="55" spans="1:10">
      <c r="A55" s="763" t="s">
        <v>1115</v>
      </c>
      <c r="B55" s="1208">
        <f>+B56+B57</f>
        <v>21</v>
      </c>
      <c r="C55" s="1208">
        <f>+C56+C57</f>
        <v>0</v>
      </c>
      <c r="D55" s="1209">
        <f>+D56+D57</f>
        <v>21</v>
      </c>
      <c r="E55" s="1209">
        <f>+E56+E57</f>
        <v>0</v>
      </c>
      <c r="F55" s="1210">
        <f>+F56+F57</f>
        <v>21</v>
      </c>
      <c r="H55" s="761">
        <f t="shared" ref="H55:H62" si="4">+F55-B55</f>
        <v>0</v>
      </c>
    </row>
    <row r="56" spans="1:10">
      <c r="A56" s="1213" t="s">
        <v>1040</v>
      </c>
      <c r="B56" s="867">
        <v>8</v>
      </c>
      <c r="C56" s="867"/>
      <c r="D56" s="1212">
        <f>+B56</f>
        <v>8</v>
      </c>
      <c r="E56" s="1212"/>
      <c r="F56" s="1210">
        <f>+E56+D56+C56</f>
        <v>8</v>
      </c>
      <c r="H56" s="761">
        <f t="shared" si="4"/>
        <v>0</v>
      </c>
    </row>
    <row r="57" spans="1:10">
      <c r="A57" s="1213" t="s">
        <v>1041</v>
      </c>
      <c r="B57" s="867">
        <v>13</v>
      </c>
      <c r="C57" s="867"/>
      <c r="D57" s="1212">
        <f>+B57</f>
        <v>13</v>
      </c>
      <c r="E57" s="1212"/>
      <c r="F57" s="1210">
        <f>+E57+D57+C57</f>
        <v>13</v>
      </c>
      <c r="H57" s="761">
        <f t="shared" si="4"/>
        <v>0</v>
      </c>
    </row>
    <row r="58" spans="1:10">
      <c r="A58" s="763" t="s">
        <v>1116</v>
      </c>
      <c r="B58" s="1208">
        <f>+B59</f>
        <v>0</v>
      </c>
      <c r="C58" s="1208">
        <f>+C59</f>
        <v>0</v>
      </c>
      <c r="D58" s="1209">
        <f>+D59</f>
        <v>0</v>
      </c>
      <c r="E58" s="1209">
        <f>+E59</f>
        <v>0</v>
      </c>
      <c r="F58" s="1210">
        <f>+F59</f>
        <v>0</v>
      </c>
      <c r="H58" s="761">
        <f t="shared" si="4"/>
        <v>0</v>
      </c>
    </row>
    <row r="59" spans="1:10">
      <c r="A59" s="1213" t="s">
        <v>19</v>
      </c>
      <c r="B59" s="867"/>
      <c r="C59" s="867"/>
      <c r="D59" s="1212"/>
      <c r="E59" s="1212"/>
      <c r="F59" s="1210">
        <f>+E59+D59+C59</f>
        <v>0</v>
      </c>
      <c r="H59" s="761">
        <f t="shared" si="4"/>
        <v>0</v>
      </c>
    </row>
    <row r="60" spans="1:10">
      <c r="A60" s="1207" t="s">
        <v>1117</v>
      </c>
      <c r="B60" s="1208">
        <f>+B61</f>
        <v>0</v>
      </c>
      <c r="C60" s="1208">
        <f>+C61</f>
        <v>0</v>
      </c>
      <c r="D60" s="1209">
        <f>+D61</f>
        <v>0</v>
      </c>
      <c r="E60" s="1209">
        <f>+E61</f>
        <v>0</v>
      </c>
      <c r="F60" s="1210">
        <f>+F61</f>
        <v>0</v>
      </c>
      <c r="H60" s="761">
        <f t="shared" si="4"/>
        <v>0</v>
      </c>
    </row>
    <row r="61" spans="1:10" ht="12.75" thickBot="1">
      <c r="A61" s="1213" t="s">
        <v>19</v>
      </c>
      <c r="B61" s="1215"/>
      <c r="C61" s="1215"/>
      <c r="D61" s="1216"/>
      <c r="E61" s="1216"/>
      <c r="F61" s="1210">
        <f>+E61+D61+C61</f>
        <v>0</v>
      </c>
      <c r="H61" s="761">
        <f t="shared" si="4"/>
        <v>0</v>
      </c>
    </row>
    <row r="62" spans="1:10" ht="12.75" thickBot="1">
      <c r="A62" s="172" t="s">
        <v>1118</v>
      </c>
      <c r="B62" s="1217">
        <f>+B55+B58+B60</f>
        <v>21</v>
      </c>
      <c r="C62" s="1217">
        <f>+C55+C58+C60</f>
        <v>0</v>
      </c>
      <c r="D62" s="1218">
        <f>+D55+D58+D60</f>
        <v>21</v>
      </c>
      <c r="E62" s="1219">
        <f>+E55+E58+E60</f>
        <v>0</v>
      </c>
      <c r="F62" s="1220">
        <f>+F55+F58+F60</f>
        <v>21</v>
      </c>
      <c r="H62" s="761">
        <f t="shared" si="4"/>
        <v>0</v>
      </c>
      <c r="I62" s="762">
        <f>+'1.6._mell._HVGYKCSSZ_Mérleg2019'!C239</f>
        <v>21</v>
      </c>
      <c r="J62" s="761">
        <f>+B62-I62</f>
        <v>0</v>
      </c>
    </row>
    <row r="63" spans="1:10" ht="12.75" thickBot="1">
      <c r="A63" s="1221"/>
      <c r="B63" s="1222"/>
      <c r="C63" s="1222"/>
      <c r="D63" s="1223"/>
      <c r="E63" s="1224"/>
      <c r="F63" s="1210"/>
      <c r="H63" s="761"/>
    </row>
    <row r="64" spans="1:10" ht="12.75" thickBot="1">
      <c r="A64" s="1225" t="s">
        <v>428</v>
      </c>
      <c r="B64" s="1217">
        <f>+B15+B26+B35+B53+B45+B62</f>
        <v>193</v>
      </c>
      <c r="C64" s="1217">
        <f>+C15+C26+C35+C53+C45+C62</f>
        <v>46</v>
      </c>
      <c r="D64" s="1218">
        <f>+D15+D26+D35+D53+D45+D62</f>
        <v>102</v>
      </c>
      <c r="E64" s="1226">
        <f>+E15+E26+E35+E53+E45+E62</f>
        <v>45</v>
      </c>
      <c r="F64" s="1220">
        <f>+F15+F26+F35+F53+F45+F62</f>
        <v>193</v>
      </c>
      <c r="H64" s="761">
        <f>+F64-B64</f>
        <v>0</v>
      </c>
      <c r="I64" s="762">
        <f>+'1.mell._Össz_Mérleg2019'!C239</f>
        <v>193</v>
      </c>
      <c r="J64" s="761">
        <f>+B64-I64</f>
        <v>0</v>
      </c>
    </row>
    <row r="65" spans="1:10">
      <c r="A65" s="975"/>
      <c r="B65" s="975"/>
      <c r="C65" s="975"/>
      <c r="D65" s="975"/>
      <c r="E65" s="975"/>
      <c r="F65" s="975"/>
      <c r="H65" s="761"/>
    </row>
    <row r="66" spans="1:10" ht="15.75">
      <c r="A66" s="1459" t="s">
        <v>424</v>
      </c>
      <c r="B66" s="1459"/>
      <c r="C66" s="1459"/>
      <c r="D66" s="1459"/>
      <c r="E66" s="1459"/>
      <c r="F66" s="1459"/>
      <c r="H66" s="761"/>
    </row>
    <row r="67" spans="1:10" ht="12.75" thickBot="1">
      <c r="A67" s="975"/>
      <c r="B67" s="975"/>
      <c r="C67" s="975"/>
      <c r="D67" s="975"/>
      <c r="E67" s="975"/>
      <c r="F67" s="975"/>
      <c r="H67" s="761"/>
    </row>
    <row r="68" spans="1:10" s="853" customFormat="1" ht="12.75" customHeight="1" thickBot="1">
      <c r="A68" s="1457" t="s">
        <v>7</v>
      </c>
      <c r="B68" s="1460" t="s">
        <v>1323</v>
      </c>
      <c r="C68" s="1462" t="s">
        <v>1323</v>
      </c>
      <c r="D68" s="1463"/>
      <c r="E68" s="1463"/>
      <c r="F68" s="1464"/>
      <c r="H68" s="761"/>
      <c r="I68" s="1200"/>
    </row>
    <row r="69" spans="1:10" s="853" customFormat="1" ht="48.75" thickBot="1">
      <c r="A69" s="1458"/>
      <c r="B69" s="1461"/>
      <c r="C69" s="1201" t="s">
        <v>408</v>
      </c>
      <c r="D69" s="178" t="s">
        <v>409</v>
      </c>
      <c r="E69" s="1202" t="s">
        <v>410</v>
      </c>
      <c r="F69" s="1203" t="s">
        <v>18</v>
      </c>
      <c r="H69" s="761"/>
      <c r="I69" s="1200"/>
    </row>
    <row r="70" spans="1:10">
      <c r="A70" s="1204"/>
      <c r="B70" s="1227"/>
      <c r="C70" s="1227"/>
      <c r="D70" s="173"/>
      <c r="E70" s="173"/>
      <c r="F70" s="1228"/>
      <c r="H70" s="761"/>
    </row>
    <row r="71" spans="1:10">
      <c r="A71" s="1207" t="s">
        <v>411</v>
      </c>
      <c r="B71" s="1208">
        <f>+B72+B73+B74</f>
        <v>121</v>
      </c>
      <c r="C71" s="1208">
        <f>+C72+C73+C74</f>
        <v>0</v>
      </c>
      <c r="D71" s="1209">
        <f>+D72+D73+D74</f>
        <v>0</v>
      </c>
      <c r="E71" s="1209">
        <f>+E72+E73+E74</f>
        <v>121</v>
      </c>
      <c r="F71" s="1210">
        <f>+F72+F73+F74</f>
        <v>121</v>
      </c>
      <c r="H71" s="761">
        <f>+F71-B71</f>
        <v>0</v>
      </c>
    </row>
    <row r="72" spans="1:10">
      <c r="A72" s="1229" t="s">
        <v>717</v>
      </c>
      <c r="B72" s="1222">
        <v>0</v>
      </c>
      <c r="C72" s="1222"/>
      <c r="D72" s="1224"/>
      <c r="E72" s="1224">
        <f>+B72</f>
        <v>0</v>
      </c>
      <c r="F72" s="1210">
        <f>+C72+D72+E72</f>
        <v>0</v>
      </c>
      <c r="H72" s="761">
        <f>+F72-B72</f>
        <v>0</v>
      </c>
    </row>
    <row r="73" spans="1:10">
      <c r="A73" s="1211" t="s">
        <v>720</v>
      </c>
      <c r="B73" s="867">
        <v>56</v>
      </c>
      <c r="C73" s="867"/>
      <c r="D73" s="1212"/>
      <c r="E73" s="1224">
        <f>+B73</f>
        <v>56</v>
      </c>
      <c r="F73" s="1210">
        <f>+C73+D73+E73</f>
        <v>56</v>
      </c>
      <c r="H73" s="761">
        <f>+F73-B73</f>
        <v>0</v>
      </c>
    </row>
    <row r="74" spans="1:10" ht="12.75" thickBot="1">
      <c r="A74" s="1230" t="s">
        <v>723</v>
      </c>
      <c r="B74" s="1231">
        <v>65</v>
      </c>
      <c r="C74" s="1231"/>
      <c r="D74" s="1232"/>
      <c r="E74" s="1224">
        <f>+B74</f>
        <v>65</v>
      </c>
      <c r="F74" s="1210">
        <f>+C74+D74+E74</f>
        <v>65</v>
      </c>
      <c r="H74" s="761">
        <f>+F74-B74</f>
        <v>0</v>
      </c>
    </row>
    <row r="75" spans="1:10" ht="12.75" thickBot="1">
      <c r="A75" s="172" t="s">
        <v>414</v>
      </c>
      <c r="B75" s="1217">
        <f>+B71</f>
        <v>121</v>
      </c>
      <c r="C75" s="1217">
        <f>+C71</f>
        <v>0</v>
      </c>
      <c r="D75" s="1226">
        <f>+D71</f>
        <v>0</v>
      </c>
      <c r="E75" s="1226">
        <f>+E71</f>
        <v>121</v>
      </c>
      <c r="F75" s="1220">
        <f>+F71</f>
        <v>121</v>
      </c>
      <c r="H75" s="761">
        <f>+F75-B75</f>
        <v>0</v>
      </c>
      <c r="I75" s="762">
        <f>+'1.1.mell._ÖNK_Mérleg2019'!C241</f>
        <v>121</v>
      </c>
      <c r="J75" s="762">
        <f>+B75-I75</f>
        <v>0</v>
      </c>
    </row>
    <row r="76" spans="1:10" ht="12.75" thickBot="1">
      <c r="A76" s="172"/>
      <c r="B76" s="1217"/>
      <c r="C76" s="1217"/>
      <c r="D76" s="1226"/>
      <c r="E76" s="1226"/>
      <c r="F76" s="1220"/>
      <c r="H76" s="761"/>
    </row>
    <row r="77" spans="1:10" ht="12.75" thickBot="1">
      <c r="A77" s="1225" t="s">
        <v>427</v>
      </c>
      <c r="B77" s="1217">
        <f>+B75</f>
        <v>121</v>
      </c>
      <c r="C77" s="1217">
        <f>+C75</f>
        <v>0</v>
      </c>
      <c r="D77" s="1218">
        <f>+D75</f>
        <v>0</v>
      </c>
      <c r="E77" s="1226">
        <f>+E75</f>
        <v>121</v>
      </c>
      <c r="F77" s="1220">
        <f>+F75</f>
        <v>121</v>
      </c>
      <c r="H77" s="761">
        <f>+F77-B77</f>
        <v>0</v>
      </c>
      <c r="I77" s="762">
        <f>+'1.mell._Össz_Mérleg2019'!C241</f>
        <v>121</v>
      </c>
      <c r="J77" s="762">
        <f>+B77-I77</f>
        <v>0</v>
      </c>
    </row>
    <row r="78" spans="1:10" ht="12.75" thickBot="1">
      <c r="H78" s="761"/>
    </row>
    <row r="79" spans="1:10" s="853" customFormat="1" ht="12.75" thickBot="1">
      <c r="A79" s="1233" t="s">
        <v>426</v>
      </c>
      <c r="B79" s="1234">
        <f>+B64+B77</f>
        <v>314</v>
      </c>
      <c r="C79" s="1235">
        <f>+C64+C77</f>
        <v>46</v>
      </c>
      <c r="D79" s="1236">
        <f>+D64+D77</f>
        <v>102</v>
      </c>
      <c r="E79" s="1235">
        <f>+E64+E77</f>
        <v>166</v>
      </c>
      <c r="F79" s="1234">
        <f>+F64+F77</f>
        <v>314</v>
      </c>
      <c r="H79" s="761">
        <f>+F79-B79</f>
        <v>0</v>
      </c>
      <c r="I79" s="762">
        <f>+'1.mell._Össz_Mérleg2019'!C242</f>
        <v>314</v>
      </c>
      <c r="J79" s="762">
        <f>+B79-I79</f>
        <v>0</v>
      </c>
    </row>
  </sheetData>
  <mergeCells count="9">
    <mergeCell ref="A68:A69"/>
    <mergeCell ref="A66:F66"/>
    <mergeCell ref="B68:B69"/>
    <mergeCell ref="C68:F68"/>
    <mergeCell ref="A3:F3"/>
    <mergeCell ref="A4:F4"/>
    <mergeCell ref="A6:A7"/>
    <mergeCell ref="C6:F6"/>
    <mergeCell ref="B6:B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1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X337"/>
  <sheetViews>
    <sheetView zoomScale="85" zoomScaleNormal="85" workbookViewId="0"/>
  </sheetViews>
  <sheetFormatPr defaultRowHeight="12"/>
  <cols>
    <col min="1" max="1" width="50.7109375" style="970" customWidth="1"/>
    <col min="2" max="7" width="10.7109375" style="970" customWidth="1"/>
    <col min="8" max="8" width="10.7109375" style="972" customWidth="1"/>
    <col min="9" max="9" width="50.7109375" style="970" customWidth="1"/>
    <col min="10" max="16" width="10.7109375" style="970" customWidth="1"/>
    <col min="17" max="17" width="9.140625" style="970" hidden="1" customWidth="1"/>
    <col min="18" max="18" width="9.7109375" style="970" hidden="1" customWidth="1"/>
    <col min="19" max="19" width="9.140625" style="970" hidden="1" customWidth="1"/>
    <col min="20" max="24" width="0" style="970" hidden="1" customWidth="1"/>
    <col min="25" max="16384" width="9.140625" style="970"/>
  </cols>
  <sheetData>
    <row r="1" spans="1:16" s="962" customFormat="1" ht="15.75">
      <c r="A1" s="649"/>
      <c r="B1" s="649"/>
      <c r="C1" s="649"/>
      <c r="D1" s="649"/>
      <c r="E1" s="649"/>
      <c r="F1" s="649"/>
      <c r="G1" s="649"/>
      <c r="H1" s="854"/>
      <c r="I1" s="649"/>
      <c r="J1" s="649"/>
      <c r="K1" s="649"/>
      <c r="M1" s="179"/>
      <c r="N1" s="179"/>
      <c r="O1" s="179" t="s">
        <v>444</v>
      </c>
      <c r="P1" s="179"/>
    </row>
    <row r="2" spans="1:16" s="962" customFormat="1" ht="15.75">
      <c r="A2" s="649"/>
      <c r="B2" s="649"/>
      <c r="C2" s="649"/>
      <c r="D2" s="649"/>
      <c r="E2" s="649"/>
      <c r="F2" s="649"/>
      <c r="G2" s="649"/>
      <c r="H2" s="854"/>
      <c r="I2" s="649"/>
      <c r="J2" s="649"/>
      <c r="K2" s="649"/>
      <c r="L2" s="179"/>
      <c r="M2" s="179"/>
      <c r="N2" s="179"/>
      <c r="O2" s="179"/>
      <c r="P2" s="179"/>
    </row>
    <row r="3" spans="1:16" s="962" customFormat="1" ht="15.75">
      <c r="A3" s="1466" t="s">
        <v>455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004"/>
    </row>
    <row r="4" spans="1:16" s="962" customFormat="1" ht="15.75">
      <c r="H4" s="963"/>
    </row>
    <row r="5" spans="1:16" s="962" customFormat="1" ht="15.75">
      <c r="A5" s="180" t="s">
        <v>430</v>
      </c>
      <c r="B5" s="1467" t="s">
        <v>1215</v>
      </c>
      <c r="C5" s="1467"/>
      <c r="D5" s="1467"/>
      <c r="E5" s="1467"/>
      <c r="F5" s="1467"/>
      <c r="G5" s="1467"/>
      <c r="H5" s="854"/>
      <c r="I5" s="180" t="s">
        <v>431</v>
      </c>
      <c r="J5" s="1467" t="s">
        <v>1122</v>
      </c>
      <c r="K5" s="1467"/>
      <c r="L5" s="1467"/>
      <c r="M5" s="1467"/>
      <c r="N5" s="1467"/>
      <c r="O5" s="1467"/>
      <c r="P5" s="1002"/>
    </row>
    <row r="6" spans="1:16" s="962" customFormat="1" ht="15.75" customHeight="1">
      <c r="A6" s="1405" t="s">
        <v>1216</v>
      </c>
      <c r="B6" s="1405"/>
      <c r="C6" s="1405"/>
      <c r="D6" s="1405"/>
      <c r="E6" s="1405"/>
      <c r="F6" s="1405"/>
      <c r="G6" s="1405"/>
      <c r="H6" s="854"/>
      <c r="I6" s="1405" t="s">
        <v>1123</v>
      </c>
      <c r="J6" s="1405"/>
      <c r="K6" s="1405"/>
      <c r="L6" s="1405"/>
      <c r="M6" s="1405"/>
      <c r="N6" s="1405"/>
      <c r="O6" s="1405"/>
      <c r="P6" s="1003"/>
    </row>
    <row r="7" spans="1:16" s="962" customFormat="1" ht="15.75">
      <c r="A7" s="1466" t="s">
        <v>1126</v>
      </c>
      <c r="B7" s="1466"/>
      <c r="C7" s="1466"/>
      <c r="D7" s="1466"/>
      <c r="E7" s="1466"/>
      <c r="F7" s="1466"/>
      <c r="G7" s="1466"/>
      <c r="H7" s="854"/>
      <c r="I7" s="1466" t="s">
        <v>1126</v>
      </c>
      <c r="J7" s="1466"/>
      <c r="K7" s="1466"/>
      <c r="L7" s="1466"/>
      <c r="M7" s="1466"/>
      <c r="N7" s="1466"/>
      <c r="O7" s="1466"/>
      <c r="P7" s="1004"/>
    </row>
    <row r="8" spans="1:16" s="965" customFormat="1" ht="12.75" thickBot="1">
      <c r="A8" s="964"/>
      <c r="B8" s="964"/>
      <c r="C8" s="964"/>
      <c r="D8" s="964"/>
      <c r="E8" s="964"/>
      <c r="G8" s="230" t="s">
        <v>281</v>
      </c>
      <c r="H8" s="966"/>
      <c r="I8" s="964"/>
      <c r="J8" s="964"/>
      <c r="L8" s="964"/>
      <c r="M8" s="964"/>
      <c r="O8" s="230" t="s">
        <v>281</v>
      </c>
      <c r="P8" s="951"/>
    </row>
    <row r="9" spans="1:16" s="968" customFormat="1" ht="24.75" thickBot="1">
      <c r="A9" s="414" t="s">
        <v>432</v>
      </c>
      <c r="B9" s="415" t="s">
        <v>1325</v>
      </c>
      <c r="C9" s="188" t="s">
        <v>1317</v>
      </c>
      <c r="D9" s="395" t="s">
        <v>461</v>
      </c>
      <c r="E9" s="396" t="s">
        <v>462</v>
      </c>
      <c r="F9" s="396" t="s">
        <v>1324</v>
      </c>
      <c r="G9" s="1005" t="s">
        <v>18</v>
      </c>
      <c r="H9" s="967"/>
      <c r="I9" s="414" t="s">
        <v>432</v>
      </c>
      <c r="J9" s="415" t="s">
        <v>1325</v>
      </c>
      <c r="K9" s="188" t="s">
        <v>1317</v>
      </c>
      <c r="L9" s="395" t="s">
        <v>461</v>
      </c>
      <c r="M9" s="396" t="s">
        <v>462</v>
      </c>
      <c r="N9" s="396" t="s">
        <v>1324</v>
      </c>
      <c r="O9" s="1005" t="s">
        <v>18</v>
      </c>
      <c r="P9" s="952"/>
    </row>
    <row r="10" spans="1:16">
      <c r="A10" s="189" t="s">
        <v>433</v>
      </c>
      <c r="B10" s="190">
        <f t="shared" ref="B10:F10" si="0">+B27-B15-B14-B13-B12</f>
        <v>0</v>
      </c>
      <c r="C10" s="191">
        <f t="shared" si="0"/>
        <v>0</v>
      </c>
      <c r="D10" s="192">
        <f t="shared" si="0"/>
        <v>0</v>
      </c>
      <c r="E10" s="193">
        <f t="shared" si="0"/>
        <v>0</v>
      </c>
      <c r="F10" s="193">
        <f t="shared" si="0"/>
        <v>0</v>
      </c>
      <c r="G10" s="194">
        <f t="shared" ref="G10" si="1">+G27-G15-G14-G13-G12</f>
        <v>0</v>
      </c>
      <c r="H10" s="969"/>
      <c r="I10" s="189" t="s">
        <v>433</v>
      </c>
      <c r="J10" s="190">
        <f t="shared" ref="J10:O10" si="2">+J27-J15-J14-J13-J12</f>
        <v>0</v>
      </c>
      <c r="K10" s="191">
        <f t="shared" si="2"/>
        <v>190846</v>
      </c>
      <c r="L10" s="192">
        <f t="shared" si="2"/>
        <v>0</v>
      </c>
      <c r="M10" s="193">
        <f t="shared" si="2"/>
        <v>0</v>
      </c>
      <c r="N10" s="193">
        <f t="shared" si="2"/>
        <v>0</v>
      </c>
      <c r="O10" s="194">
        <f t="shared" si="2"/>
        <v>190846</v>
      </c>
      <c r="P10" s="182"/>
    </row>
    <row r="11" spans="1:16">
      <c r="A11" s="195" t="s">
        <v>434</v>
      </c>
      <c r="B11" s="196"/>
      <c r="C11" s="197"/>
      <c r="D11" s="198"/>
      <c r="E11" s="199"/>
      <c r="F11" s="199"/>
      <c r="G11" s="200">
        <f>+B11+C11+D11+E11+F11</f>
        <v>0</v>
      </c>
      <c r="H11" s="969"/>
      <c r="I11" s="195" t="s">
        <v>434</v>
      </c>
      <c r="J11" s="196"/>
      <c r="K11" s="197"/>
      <c r="L11" s="198"/>
      <c r="M11" s="199"/>
      <c r="N11" s="199"/>
      <c r="O11" s="200">
        <f>+J11+K11+L11+M11+N11</f>
        <v>0</v>
      </c>
      <c r="P11" s="953"/>
    </row>
    <row r="12" spans="1:16">
      <c r="A12" s="201" t="s">
        <v>435</v>
      </c>
      <c r="B12" s="202"/>
      <c r="C12" s="203"/>
      <c r="D12" s="204"/>
      <c r="E12" s="205"/>
      <c r="F12" s="205"/>
      <c r="G12" s="206">
        <f>+B12+C12+D12+E12+F12</f>
        <v>0</v>
      </c>
      <c r="H12" s="969"/>
      <c r="I12" s="201" t="s">
        <v>435</v>
      </c>
      <c r="J12" s="202"/>
      <c r="K12" s="203"/>
      <c r="L12" s="204"/>
      <c r="M12" s="205"/>
      <c r="N12" s="205"/>
      <c r="O12" s="206">
        <f>+J12+K12+L12+M12+N12</f>
        <v>0</v>
      </c>
      <c r="P12" s="182"/>
    </row>
    <row r="13" spans="1:16">
      <c r="A13" s="201" t="s">
        <v>436</v>
      </c>
      <c r="B13" s="202"/>
      <c r="C13" s="203"/>
      <c r="D13" s="204"/>
      <c r="E13" s="205"/>
      <c r="F13" s="205"/>
      <c r="G13" s="206">
        <f>+B13+C13+D13+E13+F13</f>
        <v>0</v>
      </c>
      <c r="H13" s="969"/>
      <c r="I13" s="201" t="s">
        <v>436</v>
      </c>
      <c r="J13" s="202"/>
      <c r="K13" s="203"/>
      <c r="L13" s="204"/>
      <c r="M13" s="205"/>
      <c r="N13" s="205"/>
      <c r="O13" s="206">
        <f>+J13+K13+L13+M13+N13</f>
        <v>0</v>
      </c>
      <c r="P13" s="182"/>
    </row>
    <row r="14" spans="1:16">
      <c r="A14" s="201" t="s">
        <v>437</v>
      </c>
      <c r="B14" s="202"/>
      <c r="C14" s="203"/>
      <c r="D14" s="204"/>
      <c r="E14" s="205"/>
      <c r="F14" s="205"/>
      <c r="G14" s="206">
        <f>+B14+C14+D14+E14+F14</f>
        <v>0</v>
      </c>
      <c r="H14" s="969"/>
      <c r="I14" s="201" t="s">
        <v>437</v>
      </c>
      <c r="J14" s="202"/>
      <c r="K14" s="203"/>
      <c r="L14" s="204"/>
      <c r="M14" s="205"/>
      <c r="N14" s="205"/>
      <c r="O14" s="206">
        <f>+J14+K14+L14+M14+N14</f>
        <v>0</v>
      </c>
      <c r="P14" s="182"/>
    </row>
    <row r="15" spans="1:16" ht="12.75" thickBot="1">
      <c r="A15" s="201" t="s">
        <v>438</v>
      </c>
      <c r="B15" s="202"/>
      <c r="C15" s="203"/>
      <c r="D15" s="204"/>
      <c r="E15" s="205"/>
      <c r="F15" s="205"/>
      <c r="G15" s="206">
        <f>+B15+C15+D15+E15+F15</f>
        <v>0</v>
      </c>
      <c r="H15" s="969"/>
      <c r="I15" s="201" t="s">
        <v>438</v>
      </c>
      <c r="J15" s="202"/>
      <c r="K15" s="203"/>
      <c r="L15" s="204"/>
      <c r="M15" s="205"/>
      <c r="N15" s="205"/>
      <c r="O15" s="206">
        <f>+J15+K15+L15+M15+N15</f>
        <v>0</v>
      </c>
      <c r="P15" s="182"/>
    </row>
    <row r="16" spans="1:16" ht="12.75" thickBot="1">
      <c r="A16" s="181" t="s">
        <v>439</v>
      </c>
      <c r="B16" s="207">
        <f t="shared" ref="B16:G16" si="3">+B10+B12+B13+B14+B15</f>
        <v>0</v>
      </c>
      <c r="C16" s="208">
        <f t="shared" si="3"/>
        <v>0</v>
      </c>
      <c r="D16" s="209">
        <f t="shared" si="3"/>
        <v>0</v>
      </c>
      <c r="E16" s="207">
        <f t="shared" si="3"/>
        <v>0</v>
      </c>
      <c r="F16" s="207">
        <f t="shared" si="3"/>
        <v>0</v>
      </c>
      <c r="G16" s="208">
        <f t="shared" si="3"/>
        <v>0</v>
      </c>
      <c r="H16" s="969"/>
      <c r="I16" s="181" t="s">
        <v>439</v>
      </c>
      <c r="J16" s="207">
        <f t="shared" ref="J16:O16" si="4">+J10+J12+J13+J14+J15</f>
        <v>0</v>
      </c>
      <c r="K16" s="208">
        <f t="shared" si="4"/>
        <v>190846</v>
      </c>
      <c r="L16" s="209">
        <f t="shared" si="4"/>
        <v>0</v>
      </c>
      <c r="M16" s="207">
        <f t="shared" si="4"/>
        <v>0</v>
      </c>
      <c r="N16" s="207">
        <f t="shared" si="4"/>
        <v>0</v>
      </c>
      <c r="O16" s="208">
        <f t="shared" si="4"/>
        <v>190846</v>
      </c>
      <c r="P16" s="182"/>
    </row>
    <row r="17" spans="1:18" ht="12.75" thickBot="1">
      <c r="A17" s="210"/>
      <c r="B17" s="210"/>
      <c r="C17" s="210"/>
      <c r="D17" s="210"/>
      <c r="E17" s="210"/>
      <c r="F17" s="210"/>
      <c r="G17" s="210"/>
      <c r="H17" s="969"/>
      <c r="I17" s="210"/>
      <c r="J17" s="210"/>
      <c r="K17" s="210"/>
      <c r="L17" s="210"/>
      <c r="M17" s="210"/>
      <c r="N17" s="210"/>
      <c r="O17" s="210"/>
      <c r="P17" s="210"/>
    </row>
    <row r="18" spans="1:18" s="968" customFormat="1" ht="24.75" thickBot="1">
      <c r="A18" s="414" t="s">
        <v>440</v>
      </c>
      <c r="B18" s="415" t="s">
        <v>1325</v>
      </c>
      <c r="C18" s="188" t="s">
        <v>1317</v>
      </c>
      <c r="D18" s="395" t="s">
        <v>461</v>
      </c>
      <c r="E18" s="396" t="s">
        <v>462</v>
      </c>
      <c r="F18" s="396" t="s">
        <v>1324</v>
      </c>
      <c r="G18" s="1005" t="s">
        <v>18</v>
      </c>
      <c r="H18" s="971"/>
      <c r="I18" s="414" t="s">
        <v>440</v>
      </c>
      <c r="J18" s="415" t="s">
        <v>1325</v>
      </c>
      <c r="K18" s="188" t="s">
        <v>1317</v>
      </c>
      <c r="L18" s="395" t="s">
        <v>461</v>
      </c>
      <c r="M18" s="396" t="s">
        <v>462</v>
      </c>
      <c r="N18" s="396" t="s">
        <v>1324</v>
      </c>
      <c r="O18" s="1005" t="s">
        <v>18</v>
      </c>
      <c r="P18" s="952"/>
    </row>
    <row r="19" spans="1:18">
      <c r="A19" s="189" t="s">
        <v>446</v>
      </c>
      <c r="B19" s="190"/>
      <c r="C19" s="191"/>
      <c r="D19" s="192"/>
      <c r="E19" s="193"/>
      <c r="F19" s="193"/>
      <c r="G19" s="194">
        <f t="shared" ref="G19:G26" si="5">+B19+C19+D19+E19+F19</f>
        <v>0</v>
      </c>
      <c r="H19" s="969"/>
      <c r="I19" s="189" t="s">
        <v>446</v>
      </c>
      <c r="J19" s="190"/>
      <c r="K19" s="191"/>
      <c r="L19" s="192"/>
      <c r="M19" s="193"/>
      <c r="N19" s="193"/>
      <c r="O19" s="194">
        <f t="shared" ref="O19:O26" si="6">+J19+K19+L19+M19+N19</f>
        <v>0</v>
      </c>
      <c r="P19" s="182"/>
    </row>
    <row r="20" spans="1:18">
      <c r="A20" s="211" t="s">
        <v>447</v>
      </c>
      <c r="B20" s="202"/>
      <c r="C20" s="203"/>
      <c r="D20" s="204"/>
      <c r="E20" s="205"/>
      <c r="F20" s="205"/>
      <c r="G20" s="206">
        <f t="shared" si="5"/>
        <v>0</v>
      </c>
      <c r="H20" s="969"/>
      <c r="I20" s="211" t="s">
        <v>447</v>
      </c>
      <c r="J20" s="202"/>
      <c r="K20" s="203"/>
      <c r="L20" s="204"/>
      <c r="M20" s="205"/>
      <c r="N20" s="205"/>
      <c r="O20" s="206">
        <f t="shared" si="6"/>
        <v>0</v>
      </c>
      <c r="P20" s="182"/>
    </row>
    <row r="21" spans="1:18">
      <c r="A21" s="201" t="s">
        <v>448</v>
      </c>
      <c r="B21" s="202"/>
      <c r="C21" s="203"/>
      <c r="D21" s="204"/>
      <c r="E21" s="205"/>
      <c r="F21" s="205"/>
      <c r="G21" s="206">
        <f t="shared" si="5"/>
        <v>0</v>
      </c>
      <c r="H21" s="969"/>
      <c r="I21" s="201" t="s">
        <v>448</v>
      </c>
      <c r="J21" s="202"/>
      <c r="K21" s="203"/>
      <c r="L21" s="204"/>
      <c r="M21" s="205"/>
      <c r="N21" s="205"/>
      <c r="O21" s="206">
        <f t="shared" si="6"/>
        <v>0</v>
      </c>
      <c r="P21" s="182"/>
    </row>
    <row r="22" spans="1:18">
      <c r="A22" s="201" t="s">
        <v>449</v>
      </c>
      <c r="B22" s="202"/>
      <c r="C22" s="203"/>
      <c r="D22" s="204"/>
      <c r="E22" s="205"/>
      <c r="F22" s="205"/>
      <c r="G22" s="206">
        <f t="shared" si="5"/>
        <v>0</v>
      </c>
      <c r="H22" s="969"/>
      <c r="I22" s="201" t="s">
        <v>449</v>
      </c>
      <c r="J22" s="202"/>
      <c r="K22" s="203"/>
      <c r="L22" s="204"/>
      <c r="M22" s="205"/>
      <c r="N22" s="205"/>
      <c r="O22" s="206">
        <f t="shared" si="6"/>
        <v>0</v>
      </c>
      <c r="P22" s="182"/>
    </row>
    <row r="23" spans="1:18">
      <c r="A23" s="212" t="s">
        <v>450</v>
      </c>
      <c r="B23" s="213"/>
      <c r="C23" s="203"/>
      <c r="D23" s="204"/>
      <c r="E23" s="205"/>
      <c r="F23" s="205"/>
      <c r="G23" s="206">
        <f t="shared" si="5"/>
        <v>0</v>
      </c>
      <c r="I23" s="212" t="s">
        <v>450</v>
      </c>
      <c r="J23" s="213"/>
      <c r="K23" s="203">
        <v>190846</v>
      </c>
      <c r="L23" s="204"/>
      <c r="M23" s="205"/>
      <c r="N23" s="205"/>
      <c r="O23" s="206">
        <f t="shared" si="6"/>
        <v>190846</v>
      </c>
      <c r="P23" s="182"/>
      <c r="R23" s="969"/>
    </row>
    <row r="24" spans="1:18">
      <c r="A24" s="212" t="s">
        <v>451</v>
      </c>
      <c r="B24" s="213"/>
      <c r="C24" s="203"/>
      <c r="D24" s="204"/>
      <c r="E24" s="205"/>
      <c r="F24" s="205"/>
      <c r="G24" s="206">
        <f t="shared" si="5"/>
        <v>0</v>
      </c>
      <c r="I24" s="212" t="s">
        <v>451</v>
      </c>
      <c r="J24" s="213"/>
      <c r="K24" s="203"/>
      <c r="L24" s="204"/>
      <c r="M24" s="205"/>
      <c r="N24" s="205"/>
      <c r="O24" s="206">
        <f t="shared" si="6"/>
        <v>0</v>
      </c>
      <c r="P24" s="182"/>
      <c r="R24" s="969"/>
    </row>
    <row r="25" spans="1:18">
      <c r="A25" s="214" t="s">
        <v>452</v>
      </c>
      <c r="B25" s="215"/>
      <c r="C25" s="216"/>
      <c r="D25" s="217"/>
      <c r="E25" s="218"/>
      <c r="F25" s="218"/>
      <c r="G25" s="206">
        <f t="shared" si="5"/>
        <v>0</v>
      </c>
      <c r="I25" s="214" t="s">
        <v>452</v>
      </c>
      <c r="J25" s="215"/>
      <c r="K25" s="216"/>
      <c r="L25" s="217"/>
      <c r="M25" s="218"/>
      <c r="N25" s="218"/>
      <c r="O25" s="206">
        <f t="shared" si="6"/>
        <v>0</v>
      </c>
      <c r="P25" s="182"/>
      <c r="R25" s="969"/>
    </row>
    <row r="26" spans="1:18" ht="12.75" thickBot="1">
      <c r="A26" s="214" t="s">
        <v>453</v>
      </c>
      <c r="B26" s="215"/>
      <c r="C26" s="216"/>
      <c r="D26" s="217"/>
      <c r="E26" s="218"/>
      <c r="F26" s="218"/>
      <c r="G26" s="206">
        <f t="shared" si="5"/>
        <v>0</v>
      </c>
      <c r="I26" s="214" t="s">
        <v>453</v>
      </c>
      <c r="J26" s="215"/>
      <c r="K26" s="216"/>
      <c r="L26" s="217"/>
      <c r="M26" s="218"/>
      <c r="N26" s="218"/>
      <c r="O26" s="206">
        <f t="shared" si="6"/>
        <v>0</v>
      </c>
      <c r="P26" s="182"/>
      <c r="R26" s="969"/>
    </row>
    <row r="27" spans="1:18" ht="12.75" thickBot="1">
      <c r="A27" s="181" t="s">
        <v>454</v>
      </c>
      <c r="B27" s="207">
        <f t="shared" ref="B27:G27" si="7">+B19+B20+B21+B22+B23+B24+B25+B26</f>
        <v>0</v>
      </c>
      <c r="C27" s="208">
        <f t="shared" si="7"/>
        <v>0</v>
      </c>
      <c r="D27" s="209">
        <f t="shared" si="7"/>
        <v>0</v>
      </c>
      <c r="E27" s="207">
        <f t="shared" si="7"/>
        <v>0</v>
      </c>
      <c r="F27" s="207">
        <f t="shared" si="7"/>
        <v>0</v>
      </c>
      <c r="G27" s="208">
        <f t="shared" si="7"/>
        <v>0</v>
      </c>
      <c r="I27" s="181" t="s">
        <v>454</v>
      </c>
      <c r="J27" s="207">
        <f t="shared" ref="J27:O27" si="8">+J19+J20+J21+J22+J23+J24+J25+J26</f>
        <v>0</v>
      </c>
      <c r="K27" s="208">
        <f t="shared" si="8"/>
        <v>190846</v>
      </c>
      <c r="L27" s="209">
        <f t="shared" si="8"/>
        <v>0</v>
      </c>
      <c r="M27" s="207">
        <f t="shared" si="8"/>
        <v>0</v>
      </c>
      <c r="N27" s="207">
        <f t="shared" si="8"/>
        <v>0</v>
      </c>
      <c r="O27" s="208">
        <f t="shared" si="8"/>
        <v>190846</v>
      </c>
      <c r="P27" s="182"/>
      <c r="R27" s="969"/>
    </row>
    <row r="28" spans="1:18">
      <c r="R28" s="972"/>
    </row>
    <row r="29" spans="1:18">
      <c r="R29" s="972"/>
    </row>
    <row r="30" spans="1:18" s="962" customFormat="1" ht="15.75">
      <c r="A30" s="180" t="s">
        <v>442</v>
      </c>
      <c r="B30" s="1468" t="s">
        <v>1125</v>
      </c>
      <c r="C30" s="1468"/>
      <c r="D30" s="1468"/>
      <c r="E30" s="1468"/>
      <c r="F30" s="1468"/>
      <c r="G30" s="1468"/>
      <c r="H30" s="854"/>
      <c r="I30" s="180" t="s">
        <v>443</v>
      </c>
      <c r="J30" s="1467" t="s">
        <v>1544</v>
      </c>
      <c r="K30" s="1467"/>
      <c r="L30" s="1467"/>
      <c r="M30" s="1467"/>
      <c r="N30" s="1467"/>
      <c r="O30" s="1467"/>
      <c r="P30" s="1002"/>
    </row>
    <row r="31" spans="1:18" s="962" customFormat="1" ht="15.75" customHeight="1">
      <c r="A31" s="1405" t="s">
        <v>1124</v>
      </c>
      <c r="B31" s="1405"/>
      <c r="C31" s="1405"/>
      <c r="D31" s="1405"/>
      <c r="E31" s="1405"/>
      <c r="F31" s="1405"/>
      <c r="G31" s="1405"/>
      <c r="H31" s="854"/>
      <c r="I31" s="1405" t="s">
        <v>1545</v>
      </c>
      <c r="J31" s="1405"/>
      <c r="K31" s="1405"/>
      <c r="L31" s="1405"/>
      <c r="M31" s="1405"/>
      <c r="N31" s="1405"/>
      <c r="O31" s="1405"/>
      <c r="P31" s="1003"/>
    </row>
    <row r="32" spans="1:18" s="962" customFormat="1" ht="15.75">
      <c r="A32" s="1466" t="s">
        <v>1126</v>
      </c>
      <c r="B32" s="1466"/>
      <c r="C32" s="1466"/>
      <c r="D32" s="1466"/>
      <c r="E32" s="1466"/>
      <c r="F32" s="1466"/>
      <c r="G32" s="1466"/>
      <c r="H32" s="854"/>
      <c r="I32" s="1466" t="s">
        <v>1126</v>
      </c>
      <c r="J32" s="1466"/>
      <c r="K32" s="1466"/>
      <c r="L32" s="1466"/>
      <c r="M32" s="1466"/>
      <c r="N32" s="1466"/>
      <c r="O32" s="1466"/>
      <c r="P32" s="1004"/>
    </row>
    <row r="33" spans="1:16" s="965" customFormat="1" ht="12.75" thickBot="1">
      <c r="A33" s="964"/>
      <c r="B33" s="964"/>
      <c r="D33" s="964"/>
      <c r="E33" s="964"/>
      <c r="G33" s="230" t="s">
        <v>281</v>
      </c>
      <c r="H33" s="966"/>
      <c r="I33" s="964"/>
      <c r="J33" s="964"/>
      <c r="K33" s="964"/>
      <c r="L33" s="964"/>
      <c r="M33" s="964"/>
      <c r="O33" s="230" t="s">
        <v>281</v>
      </c>
      <c r="P33" s="951"/>
    </row>
    <row r="34" spans="1:16" s="968" customFormat="1" ht="24.75" thickBot="1">
      <c r="A34" s="414" t="s">
        <v>432</v>
      </c>
      <c r="B34" s="415" t="s">
        <v>1325</v>
      </c>
      <c r="C34" s="188" t="s">
        <v>1317</v>
      </c>
      <c r="D34" s="395" t="s">
        <v>461</v>
      </c>
      <c r="E34" s="396" t="s">
        <v>462</v>
      </c>
      <c r="F34" s="396" t="s">
        <v>1324</v>
      </c>
      <c r="G34" s="1005" t="s">
        <v>18</v>
      </c>
      <c r="H34" s="971"/>
      <c r="I34" s="414" t="s">
        <v>432</v>
      </c>
      <c r="J34" s="415" t="s">
        <v>1325</v>
      </c>
      <c r="K34" s="188" t="s">
        <v>1317</v>
      </c>
      <c r="L34" s="395" t="s">
        <v>461</v>
      </c>
      <c r="M34" s="396" t="s">
        <v>462</v>
      </c>
      <c r="N34" s="396" t="s">
        <v>1324</v>
      </c>
      <c r="O34" s="1005" t="s">
        <v>18</v>
      </c>
      <c r="P34" s="952"/>
    </row>
    <row r="35" spans="1:16">
      <c r="A35" s="189" t="s">
        <v>433</v>
      </c>
      <c r="B35" s="190">
        <f t="shared" ref="B35:G35" si="9">+B52-B40-B39-B38-B37</f>
        <v>0</v>
      </c>
      <c r="C35" s="191">
        <f t="shared" si="9"/>
        <v>177292</v>
      </c>
      <c r="D35" s="192">
        <f t="shared" si="9"/>
        <v>0</v>
      </c>
      <c r="E35" s="193">
        <f t="shared" si="9"/>
        <v>0</v>
      </c>
      <c r="F35" s="193">
        <f t="shared" si="9"/>
        <v>0</v>
      </c>
      <c r="G35" s="194">
        <f t="shared" si="9"/>
        <v>177292</v>
      </c>
      <c r="H35" s="969"/>
      <c r="I35" s="189" t="s">
        <v>433</v>
      </c>
      <c r="J35" s="190">
        <f t="shared" ref="J35:O35" si="10">+J52-J40-J39-J38-J37</f>
        <v>0</v>
      </c>
      <c r="K35" s="191">
        <f t="shared" si="10"/>
        <v>438916</v>
      </c>
      <c r="L35" s="192">
        <f t="shared" si="10"/>
        <v>0</v>
      </c>
      <c r="M35" s="193">
        <f t="shared" si="10"/>
        <v>0</v>
      </c>
      <c r="N35" s="193">
        <f t="shared" si="10"/>
        <v>0</v>
      </c>
      <c r="O35" s="194">
        <f t="shared" si="10"/>
        <v>438916</v>
      </c>
      <c r="P35" s="182"/>
    </row>
    <row r="36" spans="1:16">
      <c r="A36" s="195" t="s">
        <v>434</v>
      </c>
      <c r="B36" s="196"/>
      <c r="C36" s="197"/>
      <c r="D36" s="198"/>
      <c r="E36" s="199"/>
      <c r="F36" s="199"/>
      <c r="G36" s="200">
        <f>+B36+C36+D36+E36+F36</f>
        <v>0</v>
      </c>
      <c r="H36" s="969"/>
      <c r="I36" s="195" t="s">
        <v>434</v>
      </c>
      <c r="J36" s="196"/>
      <c r="K36" s="197"/>
      <c r="L36" s="198"/>
      <c r="M36" s="199"/>
      <c r="N36" s="199"/>
      <c r="O36" s="200">
        <f>+J36+K36+L36+M36+N36</f>
        <v>0</v>
      </c>
      <c r="P36" s="953"/>
    </row>
    <row r="37" spans="1:16">
      <c r="A37" s="201" t="s">
        <v>435</v>
      </c>
      <c r="B37" s="202"/>
      <c r="C37" s="203"/>
      <c r="D37" s="204"/>
      <c r="E37" s="205"/>
      <c r="F37" s="205"/>
      <c r="G37" s="206">
        <f>+B37+C37+D37+E37+F37</f>
        <v>0</v>
      </c>
      <c r="H37" s="969"/>
      <c r="I37" s="201" t="s">
        <v>435</v>
      </c>
      <c r="J37" s="202"/>
      <c r="K37" s="203"/>
      <c r="L37" s="204"/>
      <c r="M37" s="205"/>
      <c r="N37" s="205"/>
      <c r="O37" s="206">
        <f>+J37+K37+L37+M37+N37</f>
        <v>0</v>
      </c>
      <c r="P37" s="182"/>
    </row>
    <row r="38" spans="1:16">
      <c r="A38" s="201" t="s">
        <v>436</v>
      </c>
      <c r="B38" s="202"/>
      <c r="C38" s="203"/>
      <c r="D38" s="204"/>
      <c r="E38" s="205"/>
      <c r="F38" s="205"/>
      <c r="G38" s="206">
        <f>+B38+C38+D38+E38+F38</f>
        <v>0</v>
      </c>
      <c r="H38" s="969"/>
      <c r="I38" s="201" t="s">
        <v>436</v>
      </c>
      <c r="J38" s="202"/>
      <c r="K38" s="203"/>
      <c r="L38" s="204"/>
      <c r="M38" s="205"/>
      <c r="N38" s="205"/>
      <c r="O38" s="206">
        <f>+J38+K38+L38+M38+N38</f>
        <v>0</v>
      </c>
      <c r="P38" s="182"/>
    </row>
    <row r="39" spans="1:16">
      <c r="A39" s="201" t="s">
        <v>437</v>
      </c>
      <c r="B39" s="202"/>
      <c r="C39" s="203"/>
      <c r="D39" s="204"/>
      <c r="E39" s="205"/>
      <c r="F39" s="205"/>
      <c r="G39" s="206">
        <f>+B39+C39+D39+E39+F39</f>
        <v>0</v>
      </c>
      <c r="H39" s="969"/>
      <c r="I39" s="201" t="s">
        <v>437</v>
      </c>
      <c r="J39" s="202"/>
      <c r="K39" s="203"/>
      <c r="L39" s="204"/>
      <c r="M39" s="205"/>
      <c r="N39" s="205"/>
      <c r="O39" s="206">
        <f>+J39+K39+L39+M39+N39</f>
        <v>0</v>
      </c>
      <c r="P39" s="182"/>
    </row>
    <row r="40" spans="1:16" ht="12.75" thickBot="1">
      <c r="A40" s="201" t="s">
        <v>438</v>
      </c>
      <c r="B40" s="202"/>
      <c r="C40" s="203"/>
      <c r="D40" s="204"/>
      <c r="E40" s="205"/>
      <c r="F40" s="205"/>
      <c r="G40" s="206">
        <f>+B40+C40+D40+E40+F40</f>
        <v>0</v>
      </c>
      <c r="H40" s="969"/>
      <c r="I40" s="201" t="s">
        <v>438</v>
      </c>
      <c r="J40" s="202"/>
      <c r="K40" s="203"/>
      <c r="L40" s="204"/>
      <c r="M40" s="205"/>
      <c r="N40" s="205"/>
      <c r="O40" s="206">
        <f>+J40+K40+L40+M40+N40</f>
        <v>0</v>
      </c>
      <c r="P40" s="182"/>
    </row>
    <row r="41" spans="1:16" ht="12.75" thickBot="1">
      <c r="A41" s="181" t="s">
        <v>439</v>
      </c>
      <c r="B41" s="207">
        <f t="shared" ref="B41:G41" si="11">+B35+B37+B38+B39+B40</f>
        <v>0</v>
      </c>
      <c r="C41" s="208">
        <f t="shared" si="11"/>
        <v>177292</v>
      </c>
      <c r="D41" s="209">
        <f t="shared" si="11"/>
        <v>0</v>
      </c>
      <c r="E41" s="207">
        <f t="shared" si="11"/>
        <v>0</v>
      </c>
      <c r="F41" s="207">
        <f t="shared" si="11"/>
        <v>0</v>
      </c>
      <c r="G41" s="208">
        <f t="shared" si="11"/>
        <v>177292</v>
      </c>
      <c r="H41" s="969"/>
      <c r="I41" s="181" t="s">
        <v>439</v>
      </c>
      <c r="J41" s="207">
        <f t="shared" ref="J41:O41" si="12">+J35+J37+J38+J39+J40</f>
        <v>0</v>
      </c>
      <c r="K41" s="208">
        <f t="shared" si="12"/>
        <v>438916</v>
      </c>
      <c r="L41" s="209">
        <f t="shared" si="12"/>
        <v>0</v>
      </c>
      <c r="M41" s="207">
        <f t="shared" si="12"/>
        <v>0</v>
      </c>
      <c r="N41" s="207">
        <f t="shared" si="12"/>
        <v>0</v>
      </c>
      <c r="O41" s="208">
        <f t="shared" si="12"/>
        <v>438916</v>
      </c>
      <c r="P41" s="182"/>
    </row>
    <row r="42" spans="1:16" ht="12.75" thickBot="1">
      <c r="A42" s="210"/>
      <c r="B42" s="210"/>
      <c r="C42" s="210"/>
      <c r="D42" s="210"/>
      <c r="E42" s="210"/>
      <c r="F42" s="210"/>
      <c r="G42" s="210"/>
      <c r="H42" s="969"/>
      <c r="I42" s="210"/>
      <c r="J42" s="210"/>
      <c r="K42" s="210"/>
      <c r="L42" s="210"/>
      <c r="M42" s="210"/>
      <c r="N42" s="210"/>
      <c r="O42" s="210"/>
      <c r="P42" s="210"/>
    </row>
    <row r="43" spans="1:16" s="968" customFormat="1" ht="24.75" thickBot="1">
      <c r="A43" s="414" t="s">
        <v>432</v>
      </c>
      <c r="B43" s="415" t="s">
        <v>1325</v>
      </c>
      <c r="C43" s="188" t="s">
        <v>1317</v>
      </c>
      <c r="D43" s="395" t="s">
        <v>461</v>
      </c>
      <c r="E43" s="396" t="s">
        <v>462</v>
      </c>
      <c r="F43" s="396" t="s">
        <v>1324</v>
      </c>
      <c r="G43" s="1005" t="s">
        <v>18</v>
      </c>
      <c r="H43" s="971"/>
      <c r="I43" s="414" t="s">
        <v>432</v>
      </c>
      <c r="J43" s="415" t="s">
        <v>1325</v>
      </c>
      <c r="K43" s="188" t="s">
        <v>1317</v>
      </c>
      <c r="L43" s="395" t="s">
        <v>461</v>
      </c>
      <c r="M43" s="396" t="s">
        <v>462</v>
      </c>
      <c r="N43" s="396" t="s">
        <v>1324</v>
      </c>
      <c r="O43" s="1005" t="s">
        <v>18</v>
      </c>
      <c r="P43" s="952"/>
    </row>
    <row r="44" spans="1:16">
      <c r="A44" s="189" t="s">
        <v>446</v>
      </c>
      <c r="B44" s="190"/>
      <c r="C44" s="191"/>
      <c r="D44" s="192"/>
      <c r="E44" s="193"/>
      <c r="F44" s="193"/>
      <c r="G44" s="194">
        <f t="shared" ref="G44:G51" si="13">+B44+C44+D44+E44+F44</f>
        <v>0</v>
      </c>
      <c r="H44" s="969"/>
      <c r="I44" s="189" t="s">
        <v>446</v>
      </c>
      <c r="J44" s="190"/>
      <c r="K44" s="191"/>
      <c r="L44" s="192"/>
      <c r="M44" s="193"/>
      <c r="N44" s="193"/>
      <c r="O44" s="194">
        <f t="shared" ref="O44:O51" si="14">+J44+K44+L44+M44+N44</f>
        <v>0</v>
      </c>
      <c r="P44" s="182"/>
    </row>
    <row r="45" spans="1:16">
      <c r="A45" s="211" t="s">
        <v>447</v>
      </c>
      <c r="B45" s="202"/>
      <c r="C45" s="203"/>
      <c r="D45" s="204"/>
      <c r="E45" s="205"/>
      <c r="F45" s="205"/>
      <c r="G45" s="206">
        <f t="shared" si="13"/>
        <v>0</v>
      </c>
      <c r="H45" s="969"/>
      <c r="I45" s="211" t="s">
        <v>447</v>
      </c>
      <c r="J45" s="202"/>
      <c r="K45" s="203"/>
      <c r="L45" s="204"/>
      <c r="M45" s="205"/>
      <c r="N45" s="205"/>
      <c r="O45" s="206">
        <f t="shared" si="14"/>
        <v>0</v>
      </c>
      <c r="P45" s="182"/>
    </row>
    <row r="46" spans="1:16">
      <c r="A46" s="201" t="s">
        <v>448</v>
      </c>
      <c r="B46" s="202"/>
      <c r="C46" s="203"/>
      <c r="D46" s="204"/>
      <c r="E46" s="205"/>
      <c r="F46" s="205"/>
      <c r="G46" s="206">
        <f t="shared" si="13"/>
        <v>0</v>
      </c>
      <c r="H46" s="969"/>
      <c r="I46" s="201" t="s">
        <v>448</v>
      </c>
      <c r="J46" s="202"/>
      <c r="K46" s="203"/>
      <c r="L46" s="204"/>
      <c r="M46" s="205"/>
      <c r="N46" s="205"/>
      <c r="O46" s="206">
        <f t="shared" si="14"/>
        <v>0</v>
      </c>
      <c r="P46" s="182"/>
    </row>
    <row r="47" spans="1:16">
      <c r="A47" s="201" t="s">
        <v>449</v>
      </c>
      <c r="B47" s="202"/>
      <c r="C47" s="203"/>
      <c r="D47" s="204"/>
      <c r="E47" s="205"/>
      <c r="F47" s="205"/>
      <c r="G47" s="206">
        <f t="shared" si="13"/>
        <v>0</v>
      </c>
      <c r="H47" s="969"/>
      <c r="I47" s="201" t="s">
        <v>449</v>
      </c>
      <c r="J47" s="202"/>
      <c r="K47" s="203"/>
      <c r="L47" s="204"/>
      <c r="M47" s="205"/>
      <c r="N47" s="205"/>
      <c r="O47" s="206">
        <f t="shared" si="14"/>
        <v>0</v>
      </c>
      <c r="P47" s="182"/>
    </row>
    <row r="48" spans="1:16">
      <c r="A48" s="212" t="s">
        <v>450</v>
      </c>
      <c r="B48" s="213"/>
      <c r="C48" s="203">
        <v>177292</v>
      </c>
      <c r="D48" s="204"/>
      <c r="E48" s="205"/>
      <c r="F48" s="205"/>
      <c r="G48" s="206">
        <f t="shared" si="13"/>
        <v>177292</v>
      </c>
      <c r="H48" s="969"/>
      <c r="I48" s="212" t="s">
        <v>450</v>
      </c>
      <c r="J48" s="213"/>
      <c r="K48" s="203">
        <v>438916</v>
      </c>
      <c r="L48" s="204"/>
      <c r="M48" s="205"/>
      <c r="N48" s="205"/>
      <c r="O48" s="206">
        <f t="shared" si="14"/>
        <v>438916</v>
      </c>
      <c r="P48" s="182"/>
    </row>
    <row r="49" spans="1:19">
      <c r="A49" s="212" t="s">
        <v>451</v>
      </c>
      <c r="B49" s="213"/>
      <c r="C49" s="203"/>
      <c r="D49" s="204"/>
      <c r="E49" s="205"/>
      <c r="F49" s="205"/>
      <c r="G49" s="206">
        <f t="shared" si="13"/>
        <v>0</v>
      </c>
      <c r="H49" s="969"/>
      <c r="I49" s="212" t="s">
        <v>451</v>
      </c>
      <c r="J49" s="213"/>
      <c r="K49" s="203"/>
      <c r="L49" s="204"/>
      <c r="M49" s="205"/>
      <c r="N49" s="205"/>
      <c r="O49" s="206">
        <f t="shared" si="14"/>
        <v>0</v>
      </c>
      <c r="P49" s="182"/>
    </row>
    <row r="50" spans="1:19">
      <c r="A50" s="214" t="s">
        <v>452</v>
      </c>
      <c r="B50" s="215"/>
      <c r="C50" s="216"/>
      <c r="D50" s="217"/>
      <c r="E50" s="218"/>
      <c r="F50" s="218"/>
      <c r="G50" s="206">
        <f t="shared" si="13"/>
        <v>0</v>
      </c>
      <c r="H50" s="969"/>
      <c r="I50" s="214" t="s">
        <v>452</v>
      </c>
      <c r="J50" s="215"/>
      <c r="K50" s="216"/>
      <c r="L50" s="217"/>
      <c r="M50" s="218"/>
      <c r="N50" s="218"/>
      <c r="O50" s="206">
        <f t="shared" si="14"/>
        <v>0</v>
      </c>
      <c r="P50" s="182"/>
    </row>
    <row r="51" spans="1:19" ht="12.75" thickBot="1">
      <c r="A51" s="214" t="s">
        <v>453</v>
      </c>
      <c r="B51" s="215"/>
      <c r="C51" s="216"/>
      <c r="D51" s="217"/>
      <c r="E51" s="218"/>
      <c r="F51" s="218"/>
      <c r="G51" s="206">
        <f t="shared" si="13"/>
        <v>0</v>
      </c>
      <c r="H51" s="969"/>
      <c r="I51" s="214" t="s">
        <v>453</v>
      </c>
      <c r="J51" s="215"/>
      <c r="K51" s="216"/>
      <c r="L51" s="217"/>
      <c r="M51" s="218"/>
      <c r="N51" s="218"/>
      <c r="O51" s="206">
        <f t="shared" si="14"/>
        <v>0</v>
      </c>
      <c r="P51" s="182"/>
    </row>
    <row r="52" spans="1:19" ht="12.75" thickBot="1">
      <c r="A52" s="181" t="s">
        <v>454</v>
      </c>
      <c r="B52" s="207">
        <f t="shared" ref="B52:G52" si="15">+B44+B45+B46+B47+B48+B49+B50+B51</f>
        <v>0</v>
      </c>
      <c r="C52" s="208">
        <f t="shared" si="15"/>
        <v>177292</v>
      </c>
      <c r="D52" s="209">
        <f t="shared" si="15"/>
        <v>0</v>
      </c>
      <c r="E52" s="207">
        <f t="shared" si="15"/>
        <v>0</v>
      </c>
      <c r="F52" s="207">
        <f t="shared" si="15"/>
        <v>0</v>
      </c>
      <c r="G52" s="208">
        <f t="shared" si="15"/>
        <v>177292</v>
      </c>
      <c r="I52" s="181" t="s">
        <v>454</v>
      </c>
      <c r="J52" s="207">
        <f t="shared" ref="J52:O52" si="16">+J44+J45+J46+J47+J48+J49+J50+J51</f>
        <v>0</v>
      </c>
      <c r="K52" s="208">
        <f t="shared" si="16"/>
        <v>438916</v>
      </c>
      <c r="L52" s="209">
        <f t="shared" si="16"/>
        <v>0</v>
      </c>
      <c r="M52" s="207">
        <f t="shared" si="16"/>
        <v>0</v>
      </c>
      <c r="N52" s="207">
        <f t="shared" si="16"/>
        <v>0</v>
      </c>
      <c r="O52" s="208">
        <f t="shared" si="16"/>
        <v>438916</v>
      </c>
      <c r="P52" s="182"/>
      <c r="R52" s="969"/>
    </row>
    <row r="53" spans="1:19">
      <c r="A53" s="182"/>
      <c r="B53" s="182"/>
      <c r="C53" s="182"/>
      <c r="D53" s="182"/>
      <c r="E53" s="182"/>
      <c r="F53" s="182"/>
      <c r="G53" s="182"/>
      <c r="H53" s="969"/>
      <c r="I53" s="182"/>
      <c r="J53" s="182"/>
      <c r="K53" s="182"/>
      <c r="L53" s="182"/>
      <c r="M53" s="182"/>
      <c r="N53" s="182"/>
      <c r="O53" s="182"/>
      <c r="P53" s="182"/>
    </row>
    <row r="54" spans="1:19">
      <c r="A54" s="182"/>
      <c r="B54" s="182"/>
      <c r="C54" s="182"/>
      <c r="D54" s="182"/>
      <c r="E54" s="182"/>
      <c r="F54" s="182"/>
      <c r="G54" s="182"/>
      <c r="H54" s="969"/>
      <c r="I54" s="182"/>
      <c r="J54" s="182"/>
      <c r="K54" s="182"/>
      <c r="L54" s="182"/>
      <c r="M54" s="182"/>
      <c r="N54" s="182"/>
      <c r="O54" s="182"/>
      <c r="P54" s="182"/>
    </row>
    <row r="55" spans="1:19" s="962" customFormat="1" ht="15.75">
      <c r="A55" s="180" t="s">
        <v>1217</v>
      </c>
      <c r="B55" s="1467" t="s">
        <v>1219</v>
      </c>
      <c r="C55" s="1467"/>
      <c r="D55" s="1467"/>
      <c r="E55" s="1467"/>
      <c r="F55" s="1467"/>
      <c r="G55" s="1467"/>
      <c r="H55" s="854"/>
      <c r="I55" s="180" t="s">
        <v>1218</v>
      </c>
      <c r="J55" s="1467" t="s">
        <v>1222</v>
      </c>
      <c r="K55" s="1467"/>
      <c r="L55" s="1467"/>
      <c r="M55" s="1467"/>
      <c r="N55" s="1467"/>
      <c r="O55" s="1467"/>
      <c r="P55" s="1002"/>
    </row>
    <row r="56" spans="1:19" s="962" customFormat="1" ht="32.25" customHeight="1">
      <c r="A56" s="1405" t="s">
        <v>1220</v>
      </c>
      <c r="B56" s="1405"/>
      <c r="C56" s="1405"/>
      <c r="D56" s="1405"/>
      <c r="E56" s="1405"/>
      <c r="F56" s="1405"/>
      <c r="G56" s="1405"/>
      <c r="H56" s="854"/>
      <c r="I56" s="1405" t="s">
        <v>1225</v>
      </c>
      <c r="J56" s="1405"/>
      <c r="K56" s="1405"/>
      <c r="L56" s="1405"/>
      <c r="M56" s="1405"/>
      <c r="N56" s="1405"/>
      <c r="O56" s="1405"/>
      <c r="P56" s="1003"/>
    </row>
    <row r="57" spans="1:19" s="962" customFormat="1" ht="15.75">
      <c r="A57" s="1466" t="s">
        <v>1126</v>
      </c>
      <c r="B57" s="1466"/>
      <c r="C57" s="1466"/>
      <c r="D57" s="1466"/>
      <c r="E57" s="1466"/>
      <c r="F57" s="1466"/>
      <c r="G57" s="1466"/>
      <c r="H57" s="854"/>
      <c r="I57" s="1466" t="s">
        <v>1126</v>
      </c>
      <c r="J57" s="1466"/>
      <c r="K57" s="1466"/>
      <c r="L57" s="1466"/>
      <c r="M57" s="1466"/>
      <c r="N57" s="1466"/>
      <c r="O57" s="1466"/>
      <c r="P57" s="1004"/>
    </row>
    <row r="58" spans="1:19" s="965" customFormat="1" ht="12.75" thickBot="1">
      <c r="A58" s="964"/>
      <c r="B58" s="964"/>
      <c r="D58" s="964"/>
      <c r="E58" s="964"/>
      <c r="G58" s="230" t="s">
        <v>281</v>
      </c>
      <c r="H58" s="966"/>
      <c r="I58" s="964"/>
      <c r="J58" s="964"/>
      <c r="K58" s="964"/>
      <c r="L58" s="964"/>
      <c r="M58" s="964"/>
      <c r="O58" s="230" t="s">
        <v>281</v>
      </c>
      <c r="P58" s="951"/>
    </row>
    <row r="59" spans="1:19" s="968" customFormat="1" ht="24.75" thickBot="1">
      <c r="A59" s="414" t="s">
        <v>432</v>
      </c>
      <c r="B59" s="415" t="s">
        <v>1325</v>
      </c>
      <c r="C59" s="188" t="s">
        <v>1317</v>
      </c>
      <c r="D59" s="395" t="s">
        <v>461</v>
      </c>
      <c r="E59" s="396" t="s">
        <v>462</v>
      </c>
      <c r="F59" s="396" t="s">
        <v>1324</v>
      </c>
      <c r="G59" s="1005" t="s">
        <v>18</v>
      </c>
      <c r="H59" s="971"/>
      <c r="I59" s="414" t="s">
        <v>432</v>
      </c>
      <c r="J59" s="415" t="s">
        <v>1325</v>
      </c>
      <c r="K59" s="188" t="s">
        <v>1317</v>
      </c>
      <c r="L59" s="395" t="s">
        <v>461</v>
      </c>
      <c r="M59" s="396" t="s">
        <v>462</v>
      </c>
      <c r="N59" s="396" t="s">
        <v>1324</v>
      </c>
      <c r="O59" s="1005" t="s">
        <v>18</v>
      </c>
      <c r="P59" s="952"/>
    </row>
    <row r="60" spans="1:19">
      <c r="A60" s="189" t="s">
        <v>433</v>
      </c>
      <c r="B60" s="190">
        <f t="shared" ref="B60:G60" si="17">+B77-B65-B64-B63-B62</f>
        <v>0</v>
      </c>
      <c r="C60" s="191">
        <f t="shared" si="17"/>
        <v>268531</v>
      </c>
      <c r="D60" s="192">
        <f t="shared" si="17"/>
        <v>0</v>
      </c>
      <c r="E60" s="193">
        <f t="shared" si="17"/>
        <v>0</v>
      </c>
      <c r="F60" s="193">
        <f t="shared" si="17"/>
        <v>0</v>
      </c>
      <c r="G60" s="194">
        <f t="shared" si="17"/>
        <v>268531</v>
      </c>
      <c r="H60" s="969"/>
      <c r="I60" s="189" t="s">
        <v>433</v>
      </c>
      <c r="J60" s="190">
        <f t="shared" ref="J60:O60" si="18">+J77-J65-J64-J63-J62</f>
        <v>0</v>
      </c>
      <c r="K60" s="191">
        <f t="shared" si="18"/>
        <v>7204</v>
      </c>
      <c r="L60" s="192">
        <f t="shared" si="18"/>
        <v>0</v>
      </c>
      <c r="M60" s="193">
        <f t="shared" si="18"/>
        <v>0</v>
      </c>
      <c r="N60" s="193">
        <f t="shared" si="18"/>
        <v>0</v>
      </c>
      <c r="O60" s="194">
        <f t="shared" si="18"/>
        <v>7204</v>
      </c>
      <c r="P60" s="182"/>
    </row>
    <row r="61" spans="1:19">
      <c r="A61" s="195" t="s">
        <v>434</v>
      </c>
      <c r="B61" s="196"/>
      <c r="C61" s="197"/>
      <c r="D61" s="198"/>
      <c r="E61" s="199"/>
      <c r="F61" s="199"/>
      <c r="G61" s="200">
        <f>+B61+C61+D61+E61+F61</f>
        <v>0</v>
      </c>
      <c r="H61" s="969"/>
      <c r="I61" s="195" t="s">
        <v>434</v>
      </c>
      <c r="J61" s="196"/>
      <c r="K61" s="197"/>
      <c r="L61" s="198"/>
      <c r="M61" s="199"/>
      <c r="N61" s="199"/>
      <c r="O61" s="200">
        <f>+J61+K61+L61+M61+N61</f>
        <v>0</v>
      </c>
      <c r="P61" s="953"/>
      <c r="Q61" s="141"/>
    </row>
    <row r="62" spans="1:19">
      <c r="A62" s="201" t="s">
        <v>435</v>
      </c>
      <c r="B62" s="202"/>
      <c r="C62" s="203"/>
      <c r="D62" s="204"/>
      <c r="E62" s="205"/>
      <c r="F62" s="205"/>
      <c r="G62" s="206">
        <f>+B62+C62+D62+E62+F62</f>
        <v>0</v>
      </c>
      <c r="H62" s="969"/>
      <c r="I62" s="201" t="s">
        <v>435</v>
      </c>
      <c r="J62" s="202"/>
      <c r="K62" s="203"/>
      <c r="L62" s="204"/>
      <c r="M62" s="205"/>
      <c r="N62" s="205"/>
      <c r="O62" s="206">
        <f>+J62+K62+L62+M62+N62</f>
        <v>0</v>
      </c>
      <c r="P62" s="182"/>
      <c r="Q62" s="141"/>
      <c r="R62" s="141"/>
      <c r="S62" s="141"/>
    </row>
    <row r="63" spans="1:19">
      <c r="A63" s="201" t="s">
        <v>436</v>
      </c>
      <c r="B63" s="202"/>
      <c r="C63" s="203"/>
      <c r="D63" s="204"/>
      <c r="E63" s="205"/>
      <c r="F63" s="205"/>
      <c r="G63" s="206">
        <f>+B63+C63+D63+E63+F63</f>
        <v>0</v>
      </c>
      <c r="H63" s="969"/>
      <c r="I63" s="201" t="s">
        <v>436</v>
      </c>
      <c r="J63" s="202"/>
      <c r="K63" s="203"/>
      <c r="L63" s="204"/>
      <c r="M63" s="205"/>
      <c r="N63" s="205"/>
      <c r="O63" s="206">
        <f>+J63+K63+L63+M63+N63</f>
        <v>0</v>
      </c>
      <c r="P63" s="182"/>
      <c r="Q63" s="141"/>
    </row>
    <row r="64" spans="1:19">
      <c r="A64" s="201" t="s">
        <v>437</v>
      </c>
      <c r="B64" s="202"/>
      <c r="C64" s="203"/>
      <c r="D64" s="204"/>
      <c r="E64" s="205"/>
      <c r="F64" s="205"/>
      <c r="G64" s="206">
        <f>+B64+C64+D64+E64+F64</f>
        <v>0</v>
      </c>
      <c r="H64" s="969"/>
      <c r="I64" s="201" t="s">
        <v>437</v>
      </c>
      <c r="J64" s="202"/>
      <c r="K64" s="203"/>
      <c r="L64" s="204"/>
      <c r="M64" s="205"/>
      <c r="N64" s="205"/>
      <c r="O64" s="206">
        <f>+J64+K64+L64+M64+N64</f>
        <v>0</v>
      </c>
      <c r="P64" s="182"/>
      <c r="Q64" s="141"/>
    </row>
    <row r="65" spans="1:19" ht="12.75" thickBot="1">
      <c r="A65" s="201" t="s">
        <v>438</v>
      </c>
      <c r="B65" s="202"/>
      <c r="C65" s="203"/>
      <c r="D65" s="204"/>
      <c r="E65" s="205"/>
      <c r="F65" s="205"/>
      <c r="G65" s="206">
        <f>+B65+C65+D65+E65+F65</f>
        <v>0</v>
      </c>
      <c r="H65" s="969"/>
      <c r="I65" s="201" t="s">
        <v>438</v>
      </c>
      <c r="J65" s="202"/>
      <c r="K65" s="203"/>
      <c r="L65" s="204"/>
      <c r="M65" s="205"/>
      <c r="N65" s="205"/>
      <c r="O65" s="206">
        <f>+J65+K65+L65+M65+N65</f>
        <v>0</v>
      </c>
      <c r="P65" s="182"/>
      <c r="Q65" s="141"/>
    </row>
    <row r="66" spans="1:19" ht="12.75" thickBot="1">
      <c r="A66" s="181" t="s">
        <v>439</v>
      </c>
      <c r="B66" s="207">
        <f t="shared" ref="B66:G66" si="19">+B60+B62+B63+B64+B65</f>
        <v>0</v>
      </c>
      <c r="C66" s="208">
        <f t="shared" si="19"/>
        <v>268531</v>
      </c>
      <c r="D66" s="209">
        <f t="shared" si="19"/>
        <v>0</v>
      </c>
      <c r="E66" s="207">
        <f t="shared" si="19"/>
        <v>0</v>
      </c>
      <c r="F66" s="207">
        <f t="shared" si="19"/>
        <v>0</v>
      </c>
      <c r="G66" s="208">
        <f t="shared" si="19"/>
        <v>268531</v>
      </c>
      <c r="H66" s="969"/>
      <c r="I66" s="181" t="s">
        <v>439</v>
      </c>
      <c r="J66" s="207">
        <f t="shared" ref="J66:O66" si="20">+J60+J62+J63+J64+J65</f>
        <v>0</v>
      </c>
      <c r="K66" s="208">
        <f t="shared" si="20"/>
        <v>7204</v>
      </c>
      <c r="L66" s="209">
        <f t="shared" si="20"/>
        <v>0</v>
      </c>
      <c r="M66" s="207">
        <f t="shared" si="20"/>
        <v>0</v>
      </c>
      <c r="N66" s="207">
        <f t="shared" si="20"/>
        <v>0</v>
      </c>
      <c r="O66" s="208">
        <f t="shared" si="20"/>
        <v>7204</v>
      </c>
      <c r="P66" s="182"/>
    </row>
    <row r="67" spans="1:19" ht="12.75" thickBot="1">
      <c r="A67" s="210"/>
      <c r="B67" s="210"/>
      <c r="C67" s="210"/>
      <c r="D67" s="210"/>
      <c r="E67" s="210"/>
      <c r="F67" s="210"/>
      <c r="G67" s="210"/>
      <c r="H67" s="969"/>
      <c r="I67" s="210"/>
      <c r="J67" s="210"/>
      <c r="K67" s="210"/>
      <c r="L67" s="210"/>
      <c r="M67" s="210"/>
      <c r="N67" s="210"/>
      <c r="O67" s="210"/>
      <c r="P67" s="210"/>
    </row>
    <row r="68" spans="1:19" s="968" customFormat="1" ht="24.75" thickBot="1">
      <c r="A68" s="414" t="s">
        <v>432</v>
      </c>
      <c r="B68" s="415" t="s">
        <v>1325</v>
      </c>
      <c r="C68" s="188" t="s">
        <v>1317</v>
      </c>
      <c r="D68" s="395" t="s">
        <v>461</v>
      </c>
      <c r="E68" s="396" t="s">
        <v>462</v>
      </c>
      <c r="F68" s="396" t="s">
        <v>1324</v>
      </c>
      <c r="G68" s="1005" t="s">
        <v>18</v>
      </c>
      <c r="H68" s="971"/>
      <c r="I68" s="414" t="s">
        <v>432</v>
      </c>
      <c r="J68" s="415" t="s">
        <v>1325</v>
      </c>
      <c r="K68" s="188" t="s">
        <v>1317</v>
      </c>
      <c r="L68" s="395" t="s">
        <v>461</v>
      </c>
      <c r="M68" s="396" t="s">
        <v>462</v>
      </c>
      <c r="N68" s="396" t="s">
        <v>1324</v>
      </c>
      <c r="O68" s="1005" t="s">
        <v>18</v>
      </c>
      <c r="P68" s="952"/>
    </row>
    <row r="69" spans="1:19">
      <c r="A69" s="189" t="s">
        <v>446</v>
      </c>
      <c r="B69" s="190"/>
      <c r="C69" s="191"/>
      <c r="D69" s="192"/>
      <c r="E69" s="193"/>
      <c r="F69" s="193"/>
      <c r="G69" s="194">
        <f t="shared" ref="G69:G76" si="21">+B69+C69+D69+E69+F69</f>
        <v>0</v>
      </c>
      <c r="H69" s="969"/>
      <c r="I69" s="189" t="s">
        <v>446</v>
      </c>
      <c r="J69" s="190"/>
      <c r="K69" s="191"/>
      <c r="L69" s="192"/>
      <c r="M69" s="193"/>
      <c r="N69" s="193"/>
      <c r="O69" s="194">
        <f t="shared" ref="O69:O76" si="22">+J69+K69+L69+M69+N69</f>
        <v>0</v>
      </c>
      <c r="P69" s="182"/>
      <c r="Q69" s="141"/>
      <c r="R69" s="141"/>
      <c r="S69" s="141"/>
    </row>
    <row r="70" spans="1:19">
      <c r="A70" s="211" t="s">
        <v>447</v>
      </c>
      <c r="B70" s="202"/>
      <c r="C70" s="203"/>
      <c r="D70" s="204"/>
      <c r="E70" s="205"/>
      <c r="F70" s="205"/>
      <c r="G70" s="206">
        <f t="shared" si="21"/>
        <v>0</v>
      </c>
      <c r="H70" s="969"/>
      <c r="I70" s="211" t="s">
        <v>447</v>
      </c>
      <c r="J70" s="202"/>
      <c r="K70" s="203"/>
      <c r="L70" s="204"/>
      <c r="M70" s="205"/>
      <c r="N70" s="205"/>
      <c r="O70" s="206">
        <f t="shared" si="22"/>
        <v>0</v>
      </c>
      <c r="P70" s="182"/>
      <c r="Q70" s="141"/>
      <c r="R70" s="141"/>
      <c r="S70" s="141"/>
    </row>
    <row r="71" spans="1:19">
      <c r="A71" s="201" t="s">
        <v>448</v>
      </c>
      <c r="B71" s="202"/>
      <c r="C71" s="203"/>
      <c r="D71" s="204"/>
      <c r="E71" s="205"/>
      <c r="F71" s="205"/>
      <c r="G71" s="206">
        <f t="shared" si="21"/>
        <v>0</v>
      </c>
      <c r="H71" s="969"/>
      <c r="I71" s="201" t="s">
        <v>448</v>
      </c>
      <c r="J71" s="202"/>
      <c r="K71" s="203"/>
      <c r="L71" s="204"/>
      <c r="M71" s="205"/>
      <c r="N71" s="205"/>
      <c r="O71" s="206">
        <f t="shared" si="22"/>
        <v>0</v>
      </c>
      <c r="P71" s="182"/>
      <c r="Q71" s="141"/>
      <c r="R71" s="141"/>
      <c r="S71" s="141"/>
    </row>
    <row r="72" spans="1:19">
      <c r="A72" s="201" t="s">
        <v>449</v>
      </c>
      <c r="B72" s="202"/>
      <c r="C72" s="203"/>
      <c r="D72" s="204"/>
      <c r="E72" s="205"/>
      <c r="F72" s="205"/>
      <c r="G72" s="206">
        <f t="shared" si="21"/>
        <v>0</v>
      </c>
      <c r="H72" s="969"/>
      <c r="I72" s="201" t="s">
        <v>449</v>
      </c>
      <c r="J72" s="202"/>
      <c r="K72" s="203"/>
      <c r="L72" s="204"/>
      <c r="M72" s="205"/>
      <c r="N72" s="205"/>
      <c r="O72" s="206">
        <f t="shared" si="22"/>
        <v>0</v>
      </c>
      <c r="P72" s="182"/>
      <c r="Q72" s="141"/>
      <c r="S72" s="141"/>
    </row>
    <row r="73" spans="1:19">
      <c r="A73" s="212" t="s">
        <v>450</v>
      </c>
      <c r="B73" s="213"/>
      <c r="C73" s="203">
        <v>268531</v>
      </c>
      <c r="D73" s="204"/>
      <c r="E73" s="205"/>
      <c r="F73" s="205"/>
      <c r="G73" s="206">
        <f t="shared" si="21"/>
        <v>268531</v>
      </c>
      <c r="H73" s="969"/>
      <c r="I73" s="212" t="s">
        <v>450</v>
      </c>
      <c r="J73" s="213"/>
      <c r="K73" s="203">
        <v>7204</v>
      </c>
      <c r="L73" s="204"/>
      <c r="M73" s="205"/>
      <c r="N73" s="205"/>
      <c r="O73" s="206">
        <f t="shared" si="22"/>
        <v>7204</v>
      </c>
      <c r="P73" s="182"/>
      <c r="Q73" s="141"/>
      <c r="R73" s="141"/>
      <c r="S73" s="141"/>
    </row>
    <row r="74" spans="1:19">
      <c r="A74" s="212" t="s">
        <v>451</v>
      </c>
      <c r="B74" s="213"/>
      <c r="C74" s="203"/>
      <c r="D74" s="204"/>
      <c r="E74" s="205"/>
      <c r="F74" s="205"/>
      <c r="G74" s="206">
        <f t="shared" si="21"/>
        <v>0</v>
      </c>
      <c r="H74" s="969"/>
      <c r="I74" s="212" t="s">
        <v>451</v>
      </c>
      <c r="J74" s="213"/>
      <c r="K74" s="203"/>
      <c r="L74" s="204"/>
      <c r="M74" s="205"/>
      <c r="N74" s="205"/>
      <c r="O74" s="206">
        <f t="shared" si="22"/>
        <v>0</v>
      </c>
      <c r="P74" s="182"/>
      <c r="Q74" s="141"/>
      <c r="R74" s="141"/>
      <c r="S74" s="141"/>
    </row>
    <row r="75" spans="1:19">
      <c r="A75" s="214" t="s">
        <v>452</v>
      </c>
      <c r="B75" s="215"/>
      <c r="C75" s="216"/>
      <c r="D75" s="217"/>
      <c r="E75" s="218"/>
      <c r="F75" s="218"/>
      <c r="G75" s="206">
        <f t="shared" si="21"/>
        <v>0</v>
      </c>
      <c r="H75" s="969"/>
      <c r="I75" s="214" t="s">
        <v>452</v>
      </c>
      <c r="J75" s="215"/>
      <c r="K75" s="216"/>
      <c r="L75" s="217"/>
      <c r="M75" s="218"/>
      <c r="N75" s="218"/>
      <c r="O75" s="206">
        <f t="shared" si="22"/>
        <v>0</v>
      </c>
      <c r="P75" s="182"/>
      <c r="Q75" s="141"/>
      <c r="R75" s="141"/>
      <c r="S75" s="141"/>
    </row>
    <row r="76" spans="1:19" ht="12.75" thickBot="1">
      <c r="A76" s="214" t="s">
        <v>453</v>
      </c>
      <c r="B76" s="215"/>
      <c r="C76" s="216"/>
      <c r="D76" s="217"/>
      <c r="E76" s="218"/>
      <c r="F76" s="218"/>
      <c r="G76" s="206">
        <f t="shared" si="21"/>
        <v>0</v>
      </c>
      <c r="H76" s="969"/>
      <c r="I76" s="214" t="s">
        <v>453</v>
      </c>
      <c r="J76" s="215"/>
      <c r="K76" s="216"/>
      <c r="L76" s="217"/>
      <c r="M76" s="218"/>
      <c r="N76" s="218"/>
      <c r="O76" s="206">
        <f t="shared" si="22"/>
        <v>0</v>
      </c>
      <c r="P76" s="182"/>
      <c r="Q76" s="141"/>
      <c r="R76" s="141"/>
      <c r="S76" s="141"/>
    </row>
    <row r="77" spans="1:19" ht="12.75" thickBot="1">
      <c r="A77" s="181" t="s">
        <v>454</v>
      </c>
      <c r="B77" s="207">
        <f t="shared" ref="B77:G77" si="23">+B69+B70+B71+B72+B73+B74+B75+B76</f>
        <v>0</v>
      </c>
      <c r="C77" s="208">
        <f t="shared" si="23"/>
        <v>268531</v>
      </c>
      <c r="D77" s="209">
        <f t="shared" si="23"/>
        <v>0</v>
      </c>
      <c r="E77" s="207">
        <f t="shared" si="23"/>
        <v>0</v>
      </c>
      <c r="F77" s="207">
        <f t="shared" si="23"/>
        <v>0</v>
      </c>
      <c r="G77" s="208">
        <f t="shared" si="23"/>
        <v>268531</v>
      </c>
      <c r="I77" s="181" t="s">
        <v>454</v>
      </c>
      <c r="J77" s="207">
        <f t="shared" ref="J77:O77" si="24">+J69+J70+J71+J72+J73+J74+J75+J76</f>
        <v>0</v>
      </c>
      <c r="K77" s="208">
        <f t="shared" si="24"/>
        <v>7204</v>
      </c>
      <c r="L77" s="209">
        <f t="shared" si="24"/>
        <v>0</v>
      </c>
      <c r="M77" s="207">
        <f t="shared" si="24"/>
        <v>0</v>
      </c>
      <c r="N77" s="207">
        <f t="shared" si="24"/>
        <v>0</v>
      </c>
      <c r="O77" s="208">
        <f t="shared" si="24"/>
        <v>7204</v>
      </c>
      <c r="P77" s="182"/>
      <c r="R77" s="969"/>
    </row>
    <row r="78" spans="1:19">
      <c r="A78" s="182"/>
      <c r="B78" s="182"/>
      <c r="C78" s="182"/>
      <c r="D78" s="182"/>
      <c r="E78" s="182"/>
      <c r="F78" s="182"/>
      <c r="G78" s="182"/>
      <c r="H78" s="969"/>
      <c r="I78" s="182"/>
      <c r="J78" s="182"/>
      <c r="K78" s="182"/>
      <c r="L78" s="182"/>
      <c r="M78" s="182"/>
      <c r="N78" s="182"/>
      <c r="O78" s="182"/>
      <c r="P78" s="182"/>
    </row>
    <row r="79" spans="1:19">
      <c r="A79" s="182"/>
      <c r="B79" s="182"/>
      <c r="C79" s="182"/>
      <c r="D79" s="182"/>
      <c r="E79" s="182"/>
      <c r="F79" s="182"/>
      <c r="G79" s="182"/>
      <c r="H79" s="969"/>
      <c r="I79" s="182"/>
      <c r="J79" s="182"/>
      <c r="K79" s="182"/>
      <c r="L79" s="182"/>
      <c r="M79" s="182"/>
      <c r="N79" s="182"/>
      <c r="O79" s="182"/>
      <c r="P79" s="182"/>
    </row>
    <row r="80" spans="1:19" s="962" customFormat="1" ht="15.75">
      <c r="A80" s="180" t="s">
        <v>1221</v>
      </c>
      <c r="B80" s="1467" t="s">
        <v>1224</v>
      </c>
      <c r="C80" s="1467"/>
      <c r="D80" s="1467"/>
      <c r="E80" s="1467"/>
      <c r="F80" s="1467"/>
      <c r="G80" s="1467"/>
      <c r="H80" s="854"/>
      <c r="I80" s="180" t="s">
        <v>1223</v>
      </c>
      <c r="J80" s="1467" t="s">
        <v>1228</v>
      </c>
      <c r="K80" s="1467"/>
      <c r="L80" s="1467"/>
      <c r="M80" s="1467"/>
      <c r="N80" s="1467"/>
      <c r="O80" s="1467"/>
      <c r="P80" s="1002"/>
    </row>
    <row r="81" spans="1:19" s="962" customFormat="1" ht="15.75" customHeight="1">
      <c r="A81" s="1405" t="s">
        <v>1226</v>
      </c>
      <c r="B81" s="1405"/>
      <c r="C81" s="1405"/>
      <c r="D81" s="1405"/>
      <c r="E81" s="1405"/>
      <c r="F81" s="1405"/>
      <c r="G81" s="1405"/>
      <c r="H81" s="854"/>
      <c r="I81" s="1405" t="s">
        <v>1231</v>
      </c>
      <c r="J81" s="1405"/>
      <c r="K81" s="1405"/>
      <c r="L81" s="1405"/>
      <c r="M81" s="1405"/>
      <c r="N81" s="1405"/>
      <c r="O81" s="1405"/>
      <c r="P81" s="1003"/>
    </row>
    <row r="82" spans="1:19" s="962" customFormat="1" ht="15.75">
      <c r="A82" s="1466" t="s">
        <v>1126</v>
      </c>
      <c r="B82" s="1466"/>
      <c r="C82" s="1466"/>
      <c r="D82" s="1466"/>
      <c r="E82" s="1466"/>
      <c r="F82" s="1466"/>
      <c r="G82" s="1466"/>
      <c r="H82" s="854"/>
      <c r="I82" s="1466" t="s">
        <v>1126</v>
      </c>
      <c r="J82" s="1466"/>
      <c r="K82" s="1466"/>
      <c r="L82" s="1466"/>
      <c r="M82" s="1466"/>
      <c r="N82" s="1466"/>
      <c r="O82" s="1466"/>
      <c r="P82" s="1004"/>
    </row>
    <row r="83" spans="1:19" s="965" customFormat="1" ht="12.75" thickBot="1">
      <c r="A83" s="964"/>
      <c r="B83" s="964"/>
      <c r="D83" s="964"/>
      <c r="E83" s="964"/>
      <c r="G83" s="230" t="s">
        <v>281</v>
      </c>
      <c r="H83" s="966"/>
      <c r="I83" s="964"/>
      <c r="J83" s="964"/>
      <c r="K83" s="964"/>
      <c r="L83" s="964"/>
      <c r="M83" s="964"/>
      <c r="O83" s="230" t="s">
        <v>281</v>
      </c>
      <c r="P83" s="951"/>
    </row>
    <row r="84" spans="1:19" s="968" customFormat="1" ht="24.75" thickBot="1">
      <c r="A84" s="414" t="s">
        <v>432</v>
      </c>
      <c r="B84" s="415" t="s">
        <v>1325</v>
      </c>
      <c r="C84" s="188" t="s">
        <v>1317</v>
      </c>
      <c r="D84" s="395" t="s">
        <v>461</v>
      </c>
      <c r="E84" s="396" t="s">
        <v>462</v>
      </c>
      <c r="F84" s="396" t="s">
        <v>1324</v>
      </c>
      <c r="G84" s="1005" t="s">
        <v>18</v>
      </c>
      <c r="H84" s="971"/>
      <c r="I84" s="414" t="s">
        <v>432</v>
      </c>
      <c r="J84" s="415" t="s">
        <v>1325</v>
      </c>
      <c r="K84" s="188" t="s">
        <v>1317</v>
      </c>
      <c r="L84" s="395" t="s">
        <v>461</v>
      </c>
      <c r="M84" s="396" t="s">
        <v>462</v>
      </c>
      <c r="N84" s="396" t="s">
        <v>1324</v>
      </c>
      <c r="O84" s="1005" t="s">
        <v>18</v>
      </c>
      <c r="P84" s="952"/>
    </row>
    <row r="85" spans="1:19">
      <c r="A85" s="189" t="s">
        <v>433</v>
      </c>
      <c r="B85" s="190">
        <f t="shared" ref="B85:G85" si="25">+B102-B90-B89-B88-B87</f>
        <v>0</v>
      </c>
      <c r="C85" s="191">
        <f t="shared" si="25"/>
        <v>137000</v>
      </c>
      <c r="D85" s="192">
        <f t="shared" si="25"/>
        <v>0</v>
      </c>
      <c r="E85" s="193">
        <f t="shared" si="25"/>
        <v>0</v>
      </c>
      <c r="F85" s="193">
        <f t="shared" si="25"/>
        <v>0</v>
      </c>
      <c r="G85" s="194">
        <f t="shared" si="25"/>
        <v>137000</v>
      </c>
      <c r="H85" s="969"/>
      <c r="I85" s="189" t="s">
        <v>433</v>
      </c>
      <c r="J85" s="190">
        <f t="shared" ref="J85:O85" si="26">+J102-J90-J89-J88-J87</f>
        <v>0</v>
      </c>
      <c r="K85" s="191">
        <f t="shared" si="26"/>
        <v>404</v>
      </c>
      <c r="L85" s="192">
        <f t="shared" si="26"/>
        <v>0</v>
      </c>
      <c r="M85" s="193">
        <f t="shared" si="26"/>
        <v>0</v>
      </c>
      <c r="N85" s="193">
        <f t="shared" si="26"/>
        <v>0</v>
      </c>
      <c r="O85" s="194">
        <f t="shared" si="26"/>
        <v>404</v>
      </c>
      <c r="P85" s="182"/>
    </row>
    <row r="86" spans="1:19">
      <c r="A86" s="195" t="s">
        <v>434</v>
      </c>
      <c r="B86" s="196"/>
      <c r="C86" s="197"/>
      <c r="D86" s="198"/>
      <c r="E86" s="199"/>
      <c r="F86" s="199"/>
      <c r="G86" s="200">
        <f>+B86+C86+D86+E86+F86</f>
        <v>0</v>
      </c>
      <c r="H86" s="969"/>
      <c r="I86" s="195" t="s">
        <v>434</v>
      </c>
      <c r="J86" s="196"/>
      <c r="K86" s="197"/>
      <c r="L86" s="198"/>
      <c r="M86" s="199"/>
      <c r="N86" s="199"/>
      <c r="O86" s="200">
        <f>+J86+K86+L86+M86+N86</f>
        <v>0</v>
      </c>
      <c r="P86" s="953"/>
      <c r="Q86" s="141"/>
    </row>
    <row r="87" spans="1:19">
      <c r="A87" s="201" t="s">
        <v>435</v>
      </c>
      <c r="B87" s="202"/>
      <c r="C87" s="203"/>
      <c r="D87" s="204"/>
      <c r="E87" s="205"/>
      <c r="F87" s="205"/>
      <c r="G87" s="206">
        <f>+B87+C87+D87+E87+F87</f>
        <v>0</v>
      </c>
      <c r="H87" s="969"/>
      <c r="I87" s="201" t="s">
        <v>435</v>
      </c>
      <c r="J87" s="202"/>
      <c r="K87" s="203"/>
      <c r="L87" s="204"/>
      <c r="M87" s="205"/>
      <c r="N87" s="205"/>
      <c r="O87" s="206">
        <f>+J87+K87+L87+M87+N87</f>
        <v>0</v>
      </c>
      <c r="P87" s="182"/>
      <c r="Q87" s="141"/>
      <c r="R87" s="141"/>
      <c r="S87" s="141"/>
    </row>
    <row r="88" spans="1:19">
      <c r="A88" s="201" t="s">
        <v>436</v>
      </c>
      <c r="B88" s="202"/>
      <c r="C88" s="203"/>
      <c r="D88" s="204"/>
      <c r="E88" s="205"/>
      <c r="F88" s="205"/>
      <c r="G88" s="206">
        <f>+B88+C88+D88+E88+F88</f>
        <v>0</v>
      </c>
      <c r="H88" s="969"/>
      <c r="I88" s="201" t="s">
        <v>436</v>
      </c>
      <c r="J88" s="202"/>
      <c r="K88" s="203"/>
      <c r="L88" s="204"/>
      <c r="M88" s="205"/>
      <c r="N88" s="205"/>
      <c r="O88" s="206">
        <f>+J88+K88+L88+M88+N88</f>
        <v>0</v>
      </c>
      <c r="P88" s="182"/>
      <c r="Q88" s="141"/>
    </row>
    <row r="89" spans="1:19">
      <c r="A89" s="201" t="s">
        <v>437</v>
      </c>
      <c r="B89" s="202"/>
      <c r="C89" s="203"/>
      <c r="D89" s="204"/>
      <c r="E89" s="205"/>
      <c r="F89" s="205"/>
      <c r="G89" s="206">
        <f>+B89+C89+D89+E89+F89</f>
        <v>0</v>
      </c>
      <c r="H89" s="969"/>
      <c r="I89" s="201" t="s">
        <v>437</v>
      </c>
      <c r="J89" s="202"/>
      <c r="K89" s="203"/>
      <c r="L89" s="204"/>
      <c r="M89" s="205"/>
      <c r="N89" s="205"/>
      <c r="O89" s="206">
        <f>+J89+K89+L89+M89+N89</f>
        <v>0</v>
      </c>
      <c r="P89" s="182"/>
      <c r="Q89" s="141"/>
    </row>
    <row r="90" spans="1:19" ht="12.75" thickBot="1">
      <c r="A90" s="201" t="s">
        <v>438</v>
      </c>
      <c r="B90" s="202"/>
      <c r="C90" s="203"/>
      <c r="D90" s="204"/>
      <c r="E90" s="205"/>
      <c r="F90" s="205"/>
      <c r="G90" s="206">
        <f>+B90+C90+D90+E90+F90</f>
        <v>0</v>
      </c>
      <c r="H90" s="969"/>
      <c r="I90" s="201" t="s">
        <v>438</v>
      </c>
      <c r="J90" s="202"/>
      <c r="K90" s="203"/>
      <c r="L90" s="204"/>
      <c r="M90" s="205"/>
      <c r="N90" s="205"/>
      <c r="O90" s="206">
        <f>+J90+K90+L90+M90+N90</f>
        <v>0</v>
      </c>
      <c r="P90" s="182"/>
      <c r="Q90" s="141"/>
    </row>
    <row r="91" spans="1:19" ht="12.75" thickBot="1">
      <c r="A91" s="181" t="s">
        <v>439</v>
      </c>
      <c r="B91" s="207">
        <f t="shared" ref="B91:G91" si="27">+B85+B87+B88+B89+B90</f>
        <v>0</v>
      </c>
      <c r="C91" s="208">
        <f t="shared" si="27"/>
        <v>137000</v>
      </c>
      <c r="D91" s="209">
        <f t="shared" si="27"/>
        <v>0</v>
      </c>
      <c r="E91" s="207">
        <f t="shared" si="27"/>
        <v>0</v>
      </c>
      <c r="F91" s="207">
        <f t="shared" si="27"/>
        <v>0</v>
      </c>
      <c r="G91" s="208">
        <f t="shared" si="27"/>
        <v>137000</v>
      </c>
      <c r="H91" s="969"/>
      <c r="I91" s="181" t="s">
        <v>439</v>
      </c>
      <c r="J91" s="207">
        <f t="shared" ref="J91:O91" si="28">+J85+J87+J88+J89+J90</f>
        <v>0</v>
      </c>
      <c r="K91" s="208">
        <f t="shared" si="28"/>
        <v>404</v>
      </c>
      <c r="L91" s="209">
        <f t="shared" si="28"/>
        <v>0</v>
      </c>
      <c r="M91" s="207">
        <f t="shared" si="28"/>
        <v>0</v>
      </c>
      <c r="N91" s="207">
        <f t="shared" si="28"/>
        <v>0</v>
      </c>
      <c r="O91" s="208">
        <f t="shared" si="28"/>
        <v>404</v>
      </c>
      <c r="P91" s="182"/>
    </row>
    <row r="92" spans="1:19" ht="12.75" thickBot="1">
      <c r="A92" s="210"/>
      <c r="B92" s="210"/>
      <c r="C92" s="210"/>
      <c r="D92" s="210"/>
      <c r="E92" s="210"/>
      <c r="F92" s="210"/>
      <c r="G92" s="210"/>
      <c r="H92" s="969"/>
      <c r="I92" s="210"/>
      <c r="J92" s="210"/>
      <c r="K92" s="210"/>
      <c r="L92" s="210"/>
      <c r="M92" s="210"/>
      <c r="N92" s="210"/>
      <c r="O92" s="210"/>
      <c r="P92" s="210"/>
    </row>
    <row r="93" spans="1:19" s="968" customFormat="1" ht="24.75" thickBot="1">
      <c r="A93" s="414" t="s">
        <v>432</v>
      </c>
      <c r="B93" s="415" t="s">
        <v>1325</v>
      </c>
      <c r="C93" s="188" t="s">
        <v>1317</v>
      </c>
      <c r="D93" s="395" t="s">
        <v>461</v>
      </c>
      <c r="E93" s="396" t="s">
        <v>462</v>
      </c>
      <c r="F93" s="396" t="s">
        <v>1324</v>
      </c>
      <c r="G93" s="1005" t="s">
        <v>18</v>
      </c>
      <c r="H93" s="971"/>
      <c r="I93" s="414" t="s">
        <v>432</v>
      </c>
      <c r="J93" s="415" t="s">
        <v>1325</v>
      </c>
      <c r="K93" s="188" t="s">
        <v>1317</v>
      </c>
      <c r="L93" s="395" t="s">
        <v>461</v>
      </c>
      <c r="M93" s="396" t="s">
        <v>462</v>
      </c>
      <c r="N93" s="396" t="s">
        <v>1324</v>
      </c>
      <c r="O93" s="1005" t="s">
        <v>18</v>
      </c>
      <c r="P93" s="952"/>
    </row>
    <row r="94" spans="1:19">
      <c r="A94" s="189" t="s">
        <v>446</v>
      </c>
      <c r="B94" s="190"/>
      <c r="C94" s="191"/>
      <c r="D94" s="192"/>
      <c r="E94" s="193"/>
      <c r="F94" s="193"/>
      <c r="G94" s="194">
        <f t="shared" ref="G94:G101" si="29">+B94+C94+D94+E94+F94</f>
        <v>0</v>
      </c>
      <c r="H94" s="969"/>
      <c r="I94" s="189" t="s">
        <v>446</v>
      </c>
      <c r="J94" s="190"/>
      <c r="K94" s="191"/>
      <c r="L94" s="192"/>
      <c r="M94" s="193"/>
      <c r="N94" s="193"/>
      <c r="O94" s="194">
        <f t="shared" ref="O94:O101" si="30">+J94+K94+L94+M94+N94</f>
        <v>0</v>
      </c>
      <c r="P94" s="182"/>
      <c r="Q94" s="141"/>
      <c r="R94" s="141"/>
      <c r="S94" s="141"/>
    </row>
    <row r="95" spans="1:19">
      <c r="A95" s="211" t="s">
        <v>447</v>
      </c>
      <c r="B95" s="202"/>
      <c r="C95" s="203"/>
      <c r="D95" s="204"/>
      <c r="E95" s="205"/>
      <c r="F95" s="205"/>
      <c r="G95" s="206">
        <f t="shared" si="29"/>
        <v>0</v>
      </c>
      <c r="H95" s="969"/>
      <c r="I95" s="211" t="s">
        <v>447</v>
      </c>
      <c r="J95" s="202"/>
      <c r="K95" s="203"/>
      <c r="L95" s="204"/>
      <c r="M95" s="205"/>
      <c r="N95" s="205"/>
      <c r="O95" s="206">
        <f t="shared" si="30"/>
        <v>0</v>
      </c>
      <c r="P95" s="182"/>
      <c r="Q95" s="141"/>
      <c r="R95" s="141"/>
      <c r="S95" s="141"/>
    </row>
    <row r="96" spans="1:19">
      <c r="A96" s="201" t="s">
        <v>448</v>
      </c>
      <c r="B96" s="202"/>
      <c r="C96" s="203"/>
      <c r="D96" s="204"/>
      <c r="E96" s="205"/>
      <c r="F96" s="205"/>
      <c r="G96" s="206">
        <f t="shared" si="29"/>
        <v>0</v>
      </c>
      <c r="H96" s="969"/>
      <c r="I96" s="201" t="s">
        <v>448</v>
      </c>
      <c r="J96" s="202"/>
      <c r="K96" s="203"/>
      <c r="L96" s="204"/>
      <c r="M96" s="205"/>
      <c r="N96" s="205"/>
      <c r="O96" s="206">
        <f t="shared" si="30"/>
        <v>0</v>
      </c>
      <c r="P96" s="182"/>
      <c r="Q96" s="141"/>
      <c r="R96" s="141"/>
      <c r="S96" s="141"/>
    </row>
    <row r="97" spans="1:19">
      <c r="A97" s="201" t="s">
        <v>449</v>
      </c>
      <c r="B97" s="202"/>
      <c r="C97" s="203"/>
      <c r="D97" s="204"/>
      <c r="E97" s="205"/>
      <c r="F97" s="205"/>
      <c r="G97" s="206">
        <f t="shared" si="29"/>
        <v>0</v>
      </c>
      <c r="H97" s="969"/>
      <c r="I97" s="201" t="s">
        <v>449</v>
      </c>
      <c r="J97" s="202"/>
      <c r="K97" s="203"/>
      <c r="L97" s="204"/>
      <c r="M97" s="205"/>
      <c r="N97" s="205"/>
      <c r="O97" s="206">
        <f t="shared" si="30"/>
        <v>0</v>
      </c>
      <c r="P97" s="182"/>
      <c r="Q97" s="141"/>
      <c r="S97" s="141"/>
    </row>
    <row r="98" spans="1:19">
      <c r="A98" s="212" t="s">
        <v>450</v>
      </c>
      <c r="B98" s="213"/>
      <c r="C98" s="203">
        <v>137000</v>
      </c>
      <c r="D98" s="204"/>
      <c r="E98" s="205"/>
      <c r="F98" s="205"/>
      <c r="G98" s="206">
        <f t="shared" si="29"/>
        <v>137000</v>
      </c>
      <c r="H98" s="969"/>
      <c r="I98" s="212" t="s">
        <v>450</v>
      </c>
      <c r="J98" s="213"/>
      <c r="K98" s="203">
        <v>404</v>
      </c>
      <c r="L98" s="204"/>
      <c r="M98" s="205"/>
      <c r="N98" s="205"/>
      <c r="O98" s="206">
        <f t="shared" si="30"/>
        <v>404</v>
      </c>
      <c r="P98" s="182"/>
      <c r="Q98" s="141"/>
      <c r="R98" s="141"/>
      <c r="S98" s="141"/>
    </row>
    <row r="99" spans="1:19">
      <c r="A99" s="212" t="s">
        <v>451</v>
      </c>
      <c r="B99" s="213"/>
      <c r="C99" s="203"/>
      <c r="D99" s="204"/>
      <c r="E99" s="205"/>
      <c r="F99" s="205"/>
      <c r="G99" s="206">
        <f t="shared" si="29"/>
        <v>0</v>
      </c>
      <c r="H99" s="969"/>
      <c r="I99" s="212" t="s">
        <v>451</v>
      </c>
      <c r="J99" s="213"/>
      <c r="K99" s="203"/>
      <c r="L99" s="204"/>
      <c r="M99" s="205"/>
      <c r="N99" s="205"/>
      <c r="O99" s="206">
        <f t="shared" si="30"/>
        <v>0</v>
      </c>
      <c r="P99" s="182"/>
      <c r="Q99" s="141"/>
      <c r="R99" s="141"/>
      <c r="S99" s="141"/>
    </row>
    <row r="100" spans="1:19">
      <c r="A100" s="214" t="s">
        <v>452</v>
      </c>
      <c r="B100" s="215"/>
      <c r="C100" s="216"/>
      <c r="D100" s="217"/>
      <c r="E100" s="218"/>
      <c r="F100" s="218"/>
      <c r="G100" s="206">
        <f t="shared" si="29"/>
        <v>0</v>
      </c>
      <c r="H100" s="969"/>
      <c r="I100" s="214" t="s">
        <v>452</v>
      </c>
      <c r="J100" s="215"/>
      <c r="K100" s="216"/>
      <c r="L100" s="204"/>
      <c r="M100" s="218"/>
      <c r="N100" s="218"/>
      <c r="O100" s="206">
        <f t="shared" si="30"/>
        <v>0</v>
      </c>
      <c r="P100" s="182"/>
      <c r="Q100" s="141"/>
      <c r="R100" s="141"/>
      <c r="S100" s="141"/>
    </row>
    <row r="101" spans="1:19" ht="12.75" thickBot="1">
      <c r="A101" s="214" t="s">
        <v>453</v>
      </c>
      <c r="B101" s="215"/>
      <c r="C101" s="216"/>
      <c r="D101" s="217"/>
      <c r="E101" s="218"/>
      <c r="F101" s="218"/>
      <c r="G101" s="206">
        <f t="shared" si="29"/>
        <v>0</v>
      </c>
      <c r="H101" s="969"/>
      <c r="I101" s="214" t="s">
        <v>453</v>
      </c>
      <c r="J101" s="215"/>
      <c r="K101" s="216"/>
      <c r="L101" s="217"/>
      <c r="M101" s="218"/>
      <c r="N101" s="218"/>
      <c r="O101" s="206">
        <f t="shared" si="30"/>
        <v>0</v>
      </c>
      <c r="P101" s="182"/>
      <c r="Q101" s="141"/>
      <c r="R101" s="141"/>
      <c r="S101" s="141"/>
    </row>
    <row r="102" spans="1:19" ht="12.75" thickBot="1">
      <c r="A102" s="181" t="s">
        <v>454</v>
      </c>
      <c r="B102" s="207">
        <f t="shared" ref="B102:G102" si="31">+B94+B95+B96+B97+B98+B99+B100+B101</f>
        <v>0</v>
      </c>
      <c r="C102" s="208">
        <f t="shared" si="31"/>
        <v>137000</v>
      </c>
      <c r="D102" s="209">
        <f t="shared" si="31"/>
        <v>0</v>
      </c>
      <c r="E102" s="207">
        <f t="shared" si="31"/>
        <v>0</v>
      </c>
      <c r="F102" s="207">
        <f t="shared" si="31"/>
        <v>0</v>
      </c>
      <c r="G102" s="208">
        <f t="shared" si="31"/>
        <v>137000</v>
      </c>
      <c r="I102" s="181" t="s">
        <v>454</v>
      </c>
      <c r="J102" s="207">
        <f t="shared" ref="J102:O102" si="32">+J94+J95+J96+J97+J98+J99+J100+J101</f>
        <v>0</v>
      </c>
      <c r="K102" s="208">
        <f t="shared" si="32"/>
        <v>404</v>
      </c>
      <c r="L102" s="209">
        <f t="shared" si="32"/>
        <v>0</v>
      </c>
      <c r="M102" s="207">
        <f t="shared" si="32"/>
        <v>0</v>
      </c>
      <c r="N102" s="207">
        <f t="shared" si="32"/>
        <v>0</v>
      </c>
      <c r="O102" s="208">
        <f t="shared" si="32"/>
        <v>404</v>
      </c>
      <c r="P102" s="182"/>
      <c r="R102" s="969"/>
    </row>
    <row r="103" spans="1:19">
      <c r="A103" s="182"/>
      <c r="B103" s="182"/>
      <c r="C103" s="182"/>
      <c r="D103" s="182"/>
      <c r="E103" s="182"/>
      <c r="F103" s="182"/>
      <c r="G103" s="182"/>
      <c r="H103" s="969"/>
      <c r="I103" s="182"/>
      <c r="J103" s="182"/>
      <c r="K103" s="182"/>
      <c r="L103" s="182"/>
      <c r="M103" s="182"/>
      <c r="N103" s="182"/>
      <c r="O103" s="182"/>
      <c r="P103" s="182"/>
    </row>
    <row r="104" spans="1:19">
      <c r="A104" s="182"/>
      <c r="B104" s="182"/>
      <c r="C104" s="182"/>
      <c r="D104" s="182"/>
      <c r="E104" s="182"/>
      <c r="F104" s="182"/>
      <c r="G104" s="182"/>
      <c r="H104" s="969"/>
      <c r="I104" s="182"/>
      <c r="J104" s="182"/>
      <c r="K104" s="182"/>
      <c r="L104" s="182"/>
      <c r="M104" s="182"/>
      <c r="N104" s="182"/>
      <c r="O104" s="182"/>
      <c r="P104" s="182"/>
    </row>
    <row r="105" spans="1:19" s="962" customFormat="1" ht="15.75">
      <c r="A105" s="180" t="s">
        <v>1227</v>
      </c>
      <c r="B105" s="1002" t="s">
        <v>1233</v>
      </c>
      <c r="C105" s="1002"/>
      <c r="D105" s="1002"/>
      <c r="E105" s="1002"/>
      <c r="F105" s="1002"/>
      <c r="G105" s="1002"/>
      <c r="H105" s="854"/>
      <c r="I105" s="180" t="s">
        <v>1229</v>
      </c>
      <c r="J105" s="1002" t="s">
        <v>1235</v>
      </c>
      <c r="K105" s="1002"/>
      <c r="L105" s="1002"/>
      <c r="M105" s="1002"/>
      <c r="N105" s="1002"/>
      <c r="O105" s="1002"/>
      <c r="P105" s="1002"/>
    </row>
    <row r="106" spans="1:19" s="962" customFormat="1" ht="15.75" customHeight="1">
      <c r="A106" s="1405" t="s">
        <v>1236</v>
      </c>
      <c r="B106" s="1405"/>
      <c r="C106" s="1405"/>
      <c r="D106" s="1405"/>
      <c r="E106" s="1405"/>
      <c r="F106" s="1405"/>
      <c r="G106" s="1405"/>
      <c r="H106" s="854"/>
      <c r="I106" s="1405" t="s">
        <v>1237</v>
      </c>
      <c r="J106" s="1405"/>
      <c r="K106" s="1405"/>
      <c r="L106" s="1405"/>
      <c r="M106" s="1405"/>
      <c r="N106" s="1405"/>
      <c r="O106" s="1405"/>
      <c r="P106" s="1003"/>
    </row>
    <row r="107" spans="1:19" s="962" customFormat="1" ht="15.75">
      <c r="A107" s="1466" t="s">
        <v>1126</v>
      </c>
      <c r="B107" s="1466"/>
      <c r="C107" s="1466"/>
      <c r="D107" s="1466"/>
      <c r="E107" s="1466"/>
      <c r="F107" s="1466"/>
      <c r="G107" s="1466"/>
      <c r="H107" s="854"/>
      <c r="I107" s="1466" t="s">
        <v>1126</v>
      </c>
      <c r="J107" s="1466"/>
      <c r="K107" s="1466"/>
      <c r="L107" s="1466"/>
      <c r="M107" s="1466"/>
      <c r="N107" s="1466"/>
      <c r="O107" s="1466"/>
      <c r="P107" s="1004"/>
    </row>
    <row r="108" spans="1:19" s="965" customFormat="1" ht="12.75" thickBot="1">
      <c r="A108" s="964"/>
      <c r="B108" s="964"/>
      <c r="D108" s="964"/>
      <c r="E108" s="964"/>
      <c r="G108" s="230" t="s">
        <v>281</v>
      </c>
      <c r="H108" s="966"/>
      <c r="I108" s="964"/>
      <c r="J108" s="964"/>
      <c r="K108" s="964"/>
      <c r="L108" s="964"/>
      <c r="M108" s="964"/>
      <c r="O108" s="230" t="s">
        <v>281</v>
      </c>
      <c r="P108" s="951"/>
    </row>
    <row r="109" spans="1:19" s="968" customFormat="1" ht="24.75" thickBot="1">
      <c r="A109" s="414" t="s">
        <v>432</v>
      </c>
      <c r="B109" s="415" t="s">
        <v>1325</v>
      </c>
      <c r="C109" s="188" t="s">
        <v>1317</v>
      </c>
      <c r="D109" s="395" t="s">
        <v>461</v>
      </c>
      <c r="E109" s="396" t="s">
        <v>462</v>
      </c>
      <c r="F109" s="396" t="s">
        <v>1324</v>
      </c>
      <c r="G109" s="1005" t="s">
        <v>18</v>
      </c>
      <c r="H109" s="971"/>
      <c r="I109" s="414" t="s">
        <v>432</v>
      </c>
      <c r="J109" s="415" t="s">
        <v>1325</v>
      </c>
      <c r="K109" s="188" t="s">
        <v>1317</v>
      </c>
      <c r="L109" s="395" t="s">
        <v>461</v>
      </c>
      <c r="M109" s="396" t="s">
        <v>462</v>
      </c>
      <c r="N109" s="396" t="s">
        <v>1324</v>
      </c>
      <c r="O109" s="1005" t="s">
        <v>18</v>
      </c>
      <c r="P109" s="952"/>
    </row>
    <row r="110" spans="1:19">
      <c r="A110" s="189" t="s">
        <v>433</v>
      </c>
      <c r="B110" s="190">
        <f t="shared" ref="B110:G110" si="33">+B127-B115-B114-B113-B112</f>
        <v>0</v>
      </c>
      <c r="C110" s="191">
        <f t="shared" si="33"/>
        <v>8223</v>
      </c>
      <c r="D110" s="192">
        <f t="shared" si="33"/>
        <v>0</v>
      </c>
      <c r="E110" s="193">
        <f t="shared" si="33"/>
        <v>0</v>
      </c>
      <c r="F110" s="193">
        <f t="shared" si="33"/>
        <v>0</v>
      </c>
      <c r="G110" s="194">
        <f t="shared" si="33"/>
        <v>8223</v>
      </c>
      <c r="H110" s="969"/>
      <c r="I110" s="189" t="s">
        <v>433</v>
      </c>
      <c r="J110" s="190">
        <f t="shared" ref="J110:O110" si="34">+J127-J115-J114-J113-J112</f>
        <v>0</v>
      </c>
      <c r="K110" s="191">
        <f t="shared" si="34"/>
        <v>398746</v>
      </c>
      <c r="L110" s="192">
        <f t="shared" si="34"/>
        <v>0</v>
      </c>
      <c r="M110" s="193">
        <f t="shared" si="34"/>
        <v>0</v>
      </c>
      <c r="N110" s="193">
        <f t="shared" si="34"/>
        <v>0</v>
      </c>
      <c r="O110" s="194">
        <f t="shared" si="34"/>
        <v>398746</v>
      </c>
      <c r="P110" s="182"/>
    </row>
    <row r="111" spans="1:19">
      <c r="A111" s="195" t="s">
        <v>434</v>
      </c>
      <c r="B111" s="196"/>
      <c r="C111" s="197"/>
      <c r="D111" s="198"/>
      <c r="E111" s="199"/>
      <c r="F111" s="199"/>
      <c r="G111" s="200">
        <f>+B111+C111+D111+E111+F111</f>
        <v>0</v>
      </c>
      <c r="H111" s="969"/>
      <c r="I111" s="195" t="s">
        <v>434</v>
      </c>
      <c r="J111" s="196"/>
      <c r="K111" s="197"/>
      <c r="L111" s="198"/>
      <c r="M111" s="199"/>
      <c r="N111" s="199"/>
      <c r="O111" s="200">
        <f>+J111+K111+L111+M111+N111</f>
        <v>0</v>
      </c>
      <c r="P111" s="953"/>
      <c r="Q111" s="141"/>
    </row>
    <row r="112" spans="1:19">
      <c r="A112" s="201" t="s">
        <v>435</v>
      </c>
      <c r="B112" s="202"/>
      <c r="C112" s="203"/>
      <c r="D112" s="204"/>
      <c r="E112" s="205"/>
      <c r="F112" s="205"/>
      <c r="G112" s="206">
        <f>+B112+C112+D112+E112+F112</f>
        <v>0</v>
      </c>
      <c r="H112" s="969"/>
      <c r="I112" s="201" t="s">
        <v>435</v>
      </c>
      <c r="J112" s="202"/>
      <c r="K112" s="203"/>
      <c r="L112" s="204"/>
      <c r="M112" s="205"/>
      <c r="N112" s="205"/>
      <c r="O112" s="206">
        <f>+J112+K112+L112+M112+N112</f>
        <v>0</v>
      </c>
      <c r="P112" s="182"/>
      <c r="Q112" s="141"/>
      <c r="R112" s="141"/>
      <c r="S112" s="141"/>
    </row>
    <row r="113" spans="1:19">
      <c r="A113" s="201" t="s">
        <v>436</v>
      </c>
      <c r="B113" s="202"/>
      <c r="C113" s="203"/>
      <c r="D113" s="204"/>
      <c r="E113" s="205"/>
      <c r="F113" s="205"/>
      <c r="G113" s="206">
        <f>+B113+C113+D113+E113+F113</f>
        <v>0</v>
      </c>
      <c r="H113" s="969"/>
      <c r="I113" s="201" t="s">
        <v>436</v>
      </c>
      <c r="J113" s="202"/>
      <c r="K113" s="203"/>
      <c r="L113" s="204"/>
      <c r="M113" s="205"/>
      <c r="N113" s="205"/>
      <c r="O113" s="206">
        <f>+J113+K113+L113+M113+N113</f>
        <v>0</v>
      </c>
      <c r="P113" s="182"/>
      <c r="Q113" s="141"/>
    </row>
    <row r="114" spans="1:19">
      <c r="A114" s="201" t="s">
        <v>437</v>
      </c>
      <c r="B114" s="202"/>
      <c r="C114" s="203"/>
      <c r="D114" s="204"/>
      <c r="E114" s="205"/>
      <c r="F114" s="205"/>
      <c r="G114" s="206">
        <f>+B114+C114+D114+E114+F114</f>
        <v>0</v>
      </c>
      <c r="H114" s="969"/>
      <c r="I114" s="201" t="s">
        <v>437</v>
      </c>
      <c r="J114" s="202"/>
      <c r="K114" s="203"/>
      <c r="L114" s="204"/>
      <c r="M114" s="205"/>
      <c r="N114" s="205"/>
      <c r="O114" s="206">
        <f>+J114+K114+L114+M114+N114</f>
        <v>0</v>
      </c>
      <c r="P114" s="182"/>
      <c r="Q114" s="141"/>
    </row>
    <row r="115" spans="1:19" ht="12.75" thickBot="1">
      <c r="A115" s="201" t="s">
        <v>438</v>
      </c>
      <c r="B115" s="202"/>
      <c r="C115" s="203"/>
      <c r="D115" s="204"/>
      <c r="E115" s="205"/>
      <c r="F115" s="205"/>
      <c r="G115" s="206">
        <f>+B115+C115+D115+E115+F115</f>
        <v>0</v>
      </c>
      <c r="H115" s="969"/>
      <c r="I115" s="201" t="s">
        <v>438</v>
      </c>
      <c r="J115" s="202"/>
      <c r="K115" s="203"/>
      <c r="L115" s="204"/>
      <c r="M115" s="205"/>
      <c r="N115" s="205"/>
      <c r="O115" s="206">
        <f>+J115+K115+L115+M115+N115</f>
        <v>0</v>
      </c>
      <c r="P115" s="182"/>
      <c r="Q115" s="141"/>
    </row>
    <row r="116" spans="1:19" ht="12.75" thickBot="1">
      <c r="A116" s="181" t="s">
        <v>439</v>
      </c>
      <c r="B116" s="207">
        <f t="shared" ref="B116:G116" si="35">+B110+B112+B113+B114+B115</f>
        <v>0</v>
      </c>
      <c r="C116" s="208">
        <f t="shared" si="35"/>
        <v>8223</v>
      </c>
      <c r="D116" s="209">
        <f t="shared" si="35"/>
        <v>0</v>
      </c>
      <c r="E116" s="207">
        <f t="shared" si="35"/>
        <v>0</v>
      </c>
      <c r="F116" s="207">
        <f t="shared" si="35"/>
        <v>0</v>
      </c>
      <c r="G116" s="208">
        <f t="shared" si="35"/>
        <v>8223</v>
      </c>
      <c r="H116" s="969"/>
      <c r="I116" s="181" t="s">
        <v>439</v>
      </c>
      <c r="J116" s="207">
        <f t="shared" ref="J116:O116" si="36">+J110+J112+J113+J114+J115</f>
        <v>0</v>
      </c>
      <c r="K116" s="208">
        <f t="shared" si="36"/>
        <v>398746</v>
      </c>
      <c r="L116" s="209">
        <f t="shared" si="36"/>
        <v>0</v>
      </c>
      <c r="M116" s="207">
        <f t="shared" si="36"/>
        <v>0</v>
      </c>
      <c r="N116" s="207">
        <f t="shared" si="36"/>
        <v>0</v>
      </c>
      <c r="O116" s="208">
        <f t="shared" si="36"/>
        <v>398746</v>
      </c>
      <c r="P116" s="182"/>
    </row>
    <row r="117" spans="1:19" ht="12.75" thickBot="1">
      <c r="A117" s="210"/>
      <c r="B117" s="210"/>
      <c r="C117" s="210"/>
      <c r="D117" s="210"/>
      <c r="E117" s="210"/>
      <c r="F117" s="210"/>
      <c r="G117" s="210"/>
      <c r="H117" s="969"/>
      <c r="I117" s="210"/>
      <c r="J117" s="210"/>
      <c r="K117" s="210"/>
      <c r="L117" s="210"/>
      <c r="M117" s="210"/>
      <c r="N117" s="210"/>
      <c r="O117" s="210"/>
      <c r="P117" s="210"/>
    </row>
    <row r="118" spans="1:19" s="968" customFormat="1" ht="24.75" thickBot="1">
      <c r="A118" s="414" t="s">
        <v>432</v>
      </c>
      <c r="B118" s="415" t="s">
        <v>1325</v>
      </c>
      <c r="C118" s="188" t="s">
        <v>1317</v>
      </c>
      <c r="D118" s="395" t="s">
        <v>461</v>
      </c>
      <c r="E118" s="396" t="s">
        <v>462</v>
      </c>
      <c r="F118" s="396" t="s">
        <v>1324</v>
      </c>
      <c r="G118" s="1005" t="s">
        <v>18</v>
      </c>
      <c r="H118" s="971"/>
      <c r="I118" s="414" t="s">
        <v>432</v>
      </c>
      <c r="J118" s="415" t="s">
        <v>1325</v>
      </c>
      <c r="K118" s="188" t="s">
        <v>1317</v>
      </c>
      <c r="L118" s="395" t="s">
        <v>461</v>
      </c>
      <c r="M118" s="396" t="s">
        <v>462</v>
      </c>
      <c r="N118" s="396" t="s">
        <v>1324</v>
      </c>
      <c r="O118" s="1005" t="s">
        <v>18</v>
      </c>
      <c r="P118" s="952"/>
    </row>
    <row r="119" spans="1:19">
      <c r="A119" s="189" t="s">
        <v>446</v>
      </c>
      <c r="B119" s="190"/>
      <c r="C119" s="191"/>
      <c r="D119" s="192"/>
      <c r="E119" s="193"/>
      <c r="F119" s="193"/>
      <c r="G119" s="194">
        <f t="shared" ref="G119:G126" si="37">+B119+C119+D119+E119+F119</f>
        <v>0</v>
      </c>
      <c r="H119" s="969"/>
      <c r="I119" s="189" t="s">
        <v>446</v>
      </c>
      <c r="J119" s="190"/>
      <c r="K119" s="191"/>
      <c r="L119" s="192"/>
      <c r="M119" s="193"/>
      <c r="N119" s="193"/>
      <c r="O119" s="194">
        <f t="shared" ref="O119:O126" si="38">+J119+K119+L119+M119+N119</f>
        <v>0</v>
      </c>
      <c r="P119" s="182"/>
      <c r="Q119" s="141"/>
      <c r="R119" s="141"/>
      <c r="S119" s="141"/>
    </row>
    <row r="120" spans="1:19">
      <c r="A120" s="211" t="s">
        <v>447</v>
      </c>
      <c r="B120" s="202"/>
      <c r="C120" s="203"/>
      <c r="D120" s="204"/>
      <c r="E120" s="205"/>
      <c r="F120" s="205"/>
      <c r="G120" s="206">
        <f t="shared" si="37"/>
        <v>0</v>
      </c>
      <c r="H120" s="969"/>
      <c r="I120" s="211" t="s">
        <v>447</v>
      </c>
      <c r="J120" s="202"/>
      <c r="K120" s="203"/>
      <c r="L120" s="204"/>
      <c r="M120" s="205"/>
      <c r="N120" s="205"/>
      <c r="O120" s="206">
        <f t="shared" si="38"/>
        <v>0</v>
      </c>
      <c r="P120" s="182"/>
      <c r="Q120" s="141"/>
      <c r="R120" s="141"/>
      <c r="S120" s="141"/>
    </row>
    <row r="121" spans="1:19">
      <c r="A121" s="201" t="s">
        <v>448</v>
      </c>
      <c r="B121" s="202"/>
      <c r="C121" s="203"/>
      <c r="D121" s="204"/>
      <c r="E121" s="205"/>
      <c r="F121" s="205"/>
      <c r="G121" s="206">
        <f t="shared" si="37"/>
        <v>0</v>
      </c>
      <c r="H121" s="969"/>
      <c r="I121" s="201" t="s">
        <v>448</v>
      </c>
      <c r="J121" s="202"/>
      <c r="K121" s="203"/>
      <c r="L121" s="204"/>
      <c r="M121" s="205"/>
      <c r="N121" s="205"/>
      <c r="O121" s="206">
        <f t="shared" si="38"/>
        <v>0</v>
      </c>
      <c r="P121" s="182"/>
      <c r="Q121" s="141"/>
      <c r="R121" s="141"/>
      <c r="S121" s="141"/>
    </row>
    <row r="122" spans="1:19">
      <c r="A122" s="201" t="s">
        <v>449</v>
      </c>
      <c r="B122" s="202"/>
      <c r="C122" s="203"/>
      <c r="D122" s="204"/>
      <c r="E122" s="205"/>
      <c r="F122" s="205"/>
      <c r="G122" s="206">
        <f t="shared" si="37"/>
        <v>0</v>
      </c>
      <c r="H122" s="969"/>
      <c r="I122" s="201" t="s">
        <v>449</v>
      </c>
      <c r="J122" s="202"/>
      <c r="K122" s="203"/>
      <c r="L122" s="204"/>
      <c r="M122" s="205"/>
      <c r="N122" s="205"/>
      <c r="O122" s="206">
        <f t="shared" si="38"/>
        <v>0</v>
      </c>
      <c r="P122" s="182"/>
      <c r="Q122" s="141"/>
      <c r="S122" s="141"/>
    </row>
    <row r="123" spans="1:19">
      <c r="A123" s="212" t="s">
        <v>450</v>
      </c>
      <c r="B123" s="213"/>
      <c r="C123" s="203">
        <v>8223</v>
      </c>
      <c r="D123" s="204"/>
      <c r="E123" s="205"/>
      <c r="F123" s="205"/>
      <c r="G123" s="206">
        <f t="shared" si="37"/>
        <v>8223</v>
      </c>
      <c r="H123" s="969"/>
      <c r="I123" s="212" t="s">
        <v>450</v>
      </c>
      <c r="J123" s="213"/>
      <c r="K123" s="203">
        <v>398746</v>
      </c>
      <c r="L123" s="204"/>
      <c r="M123" s="205"/>
      <c r="N123" s="205"/>
      <c r="O123" s="206">
        <f t="shared" si="38"/>
        <v>398746</v>
      </c>
      <c r="P123" s="182"/>
      <c r="Q123" s="141"/>
      <c r="R123" s="141"/>
      <c r="S123" s="141"/>
    </row>
    <row r="124" spans="1:19">
      <c r="A124" s="212" t="s">
        <v>451</v>
      </c>
      <c r="B124" s="213"/>
      <c r="C124" s="203"/>
      <c r="D124" s="204"/>
      <c r="E124" s="205"/>
      <c r="F124" s="205"/>
      <c r="G124" s="206">
        <f t="shared" si="37"/>
        <v>0</v>
      </c>
      <c r="H124" s="969"/>
      <c r="I124" s="212" t="s">
        <v>451</v>
      </c>
      <c r="J124" s="213"/>
      <c r="K124" s="203"/>
      <c r="L124" s="204"/>
      <c r="M124" s="205"/>
      <c r="N124" s="205"/>
      <c r="O124" s="206">
        <f t="shared" si="38"/>
        <v>0</v>
      </c>
      <c r="P124" s="182"/>
      <c r="Q124" s="141"/>
      <c r="R124" s="141"/>
      <c r="S124" s="141"/>
    </row>
    <row r="125" spans="1:19">
      <c r="A125" s="214" t="s">
        <v>452</v>
      </c>
      <c r="B125" s="215"/>
      <c r="C125" s="216"/>
      <c r="D125" s="217"/>
      <c r="E125" s="218"/>
      <c r="F125" s="218"/>
      <c r="G125" s="206">
        <f t="shared" si="37"/>
        <v>0</v>
      </c>
      <c r="H125" s="969"/>
      <c r="I125" s="214" t="s">
        <v>452</v>
      </c>
      <c r="J125" s="215"/>
      <c r="K125" s="216"/>
      <c r="L125" s="204"/>
      <c r="M125" s="218"/>
      <c r="N125" s="218"/>
      <c r="O125" s="206">
        <f t="shared" si="38"/>
        <v>0</v>
      </c>
      <c r="P125" s="182"/>
      <c r="Q125" s="141"/>
      <c r="R125" s="141"/>
      <c r="S125" s="141"/>
    </row>
    <row r="126" spans="1:19" ht="12.75" thickBot="1">
      <c r="A126" s="214" t="s">
        <v>453</v>
      </c>
      <c r="B126" s="215"/>
      <c r="C126" s="216"/>
      <c r="D126" s="217"/>
      <c r="E126" s="218"/>
      <c r="F126" s="218"/>
      <c r="G126" s="206">
        <f t="shared" si="37"/>
        <v>0</v>
      </c>
      <c r="H126" s="969"/>
      <c r="I126" s="214" t="s">
        <v>453</v>
      </c>
      <c r="J126" s="215"/>
      <c r="K126" s="216"/>
      <c r="L126" s="217"/>
      <c r="M126" s="218"/>
      <c r="N126" s="218"/>
      <c r="O126" s="206">
        <f t="shared" si="38"/>
        <v>0</v>
      </c>
      <c r="P126" s="182"/>
      <c r="Q126" s="141"/>
      <c r="R126" s="141"/>
      <c r="S126" s="141"/>
    </row>
    <row r="127" spans="1:19" ht="12.75" thickBot="1">
      <c r="A127" s="181" t="s">
        <v>454</v>
      </c>
      <c r="B127" s="207">
        <f t="shared" ref="B127:G127" si="39">+B119+B120+B121+B122+B123+B124+B125+B126</f>
        <v>0</v>
      </c>
      <c r="C127" s="208">
        <f t="shared" si="39"/>
        <v>8223</v>
      </c>
      <c r="D127" s="209">
        <f t="shared" si="39"/>
        <v>0</v>
      </c>
      <c r="E127" s="207">
        <f t="shared" si="39"/>
        <v>0</v>
      </c>
      <c r="F127" s="207">
        <f t="shared" si="39"/>
        <v>0</v>
      </c>
      <c r="G127" s="208">
        <f t="shared" si="39"/>
        <v>8223</v>
      </c>
      <c r="I127" s="181" t="s">
        <v>454</v>
      </c>
      <c r="J127" s="207">
        <f t="shared" ref="J127:O127" si="40">+J119+J120+J121+J122+J123+J124+J125+J126</f>
        <v>0</v>
      </c>
      <c r="K127" s="208">
        <f t="shared" si="40"/>
        <v>398746</v>
      </c>
      <c r="L127" s="209">
        <f t="shared" si="40"/>
        <v>0</v>
      </c>
      <c r="M127" s="207">
        <f t="shared" si="40"/>
        <v>0</v>
      </c>
      <c r="N127" s="207">
        <f t="shared" si="40"/>
        <v>0</v>
      </c>
      <c r="O127" s="208">
        <f t="shared" si="40"/>
        <v>398746</v>
      </c>
      <c r="P127" s="182"/>
      <c r="R127" s="969"/>
    </row>
    <row r="128" spans="1:19">
      <c r="A128" s="182"/>
      <c r="B128" s="182"/>
      <c r="C128" s="182"/>
      <c r="D128" s="182"/>
      <c r="E128" s="182"/>
      <c r="F128" s="182"/>
      <c r="G128" s="182"/>
      <c r="H128" s="969"/>
      <c r="I128" s="182"/>
      <c r="J128" s="182"/>
      <c r="K128" s="182"/>
      <c r="L128" s="182"/>
      <c r="M128" s="182"/>
      <c r="N128" s="182"/>
      <c r="O128" s="182"/>
      <c r="P128" s="182"/>
    </row>
    <row r="130" spans="1:19" s="962" customFormat="1" ht="15.75">
      <c r="A130" s="180" t="s">
        <v>1232</v>
      </c>
      <c r="B130" s="1467" t="s">
        <v>1239</v>
      </c>
      <c r="C130" s="1467"/>
      <c r="D130" s="1467"/>
      <c r="E130" s="1467"/>
      <c r="F130" s="1467"/>
      <c r="G130" s="1467"/>
      <c r="H130" s="854"/>
      <c r="I130" s="180" t="s">
        <v>1234</v>
      </c>
      <c r="J130" s="1467" t="s">
        <v>1241</v>
      </c>
      <c r="K130" s="1467"/>
      <c r="L130" s="1467"/>
      <c r="M130" s="1467"/>
      <c r="N130" s="1467"/>
      <c r="O130" s="1467"/>
      <c r="P130" s="1002"/>
    </row>
    <row r="131" spans="1:19" s="962" customFormat="1" ht="15.75" customHeight="1">
      <c r="A131" s="1405" t="s">
        <v>1242</v>
      </c>
      <c r="B131" s="1405"/>
      <c r="C131" s="1405"/>
      <c r="D131" s="1405"/>
      <c r="E131" s="1405"/>
      <c r="F131" s="1405"/>
      <c r="G131" s="1405"/>
      <c r="H131" s="854"/>
      <c r="I131" s="1405" t="s">
        <v>1243</v>
      </c>
      <c r="J131" s="1405"/>
      <c r="K131" s="1405"/>
      <c r="L131" s="1405"/>
      <c r="M131" s="1405"/>
      <c r="N131" s="1405"/>
      <c r="O131" s="1405"/>
      <c r="P131" s="1003"/>
    </row>
    <row r="132" spans="1:19" s="962" customFormat="1" ht="15.75">
      <c r="A132" s="1466" t="s">
        <v>1126</v>
      </c>
      <c r="B132" s="1466"/>
      <c r="C132" s="1466"/>
      <c r="D132" s="1466"/>
      <c r="E132" s="1466"/>
      <c r="F132" s="1466"/>
      <c r="G132" s="1466"/>
      <c r="H132" s="854"/>
      <c r="I132" s="1466" t="s">
        <v>1244</v>
      </c>
      <c r="J132" s="1466"/>
      <c r="K132" s="1466"/>
      <c r="L132" s="1466"/>
      <c r="M132" s="1466"/>
      <c r="N132" s="1466"/>
      <c r="O132" s="1466"/>
      <c r="P132" s="1004"/>
    </row>
    <row r="133" spans="1:19" s="965" customFormat="1" ht="12.75" thickBot="1">
      <c r="A133" s="964"/>
      <c r="B133" s="964"/>
      <c r="D133" s="964"/>
      <c r="E133" s="964"/>
      <c r="G133" s="230" t="s">
        <v>281</v>
      </c>
      <c r="H133" s="966"/>
      <c r="I133" s="964"/>
      <c r="J133" s="964"/>
      <c r="K133" s="964"/>
      <c r="L133" s="964"/>
      <c r="M133" s="964"/>
      <c r="O133" s="230" t="s">
        <v>281</v>
      </c>
      <c r="P133" s="951"/>
    </row>
    <row r="134" spans="1:19" s="968" customFormat="1" ht="24.75" thickBot="1">
      <c r="A134" s="414" t="s">
        <v>432</v>
      </c>
      <c r="B134" s="415" t="s">
        <v>1325</v>
      </c>
      <c r="C134" s="188" t="s">
        <v>1317</v>
      </c>
      <c r="D134" s="395" t="s">
        <v>461</v>
      </c>
      <c r="E134" s="396" t="s">
        <v>462</v>
      </c>
      <c r="F134" s="396" t="s">
        <v>1324</v>
      </c>
      <c r="G134" s="1005" t="s">
        <v>18</v>
      </c>
      <c r="H134" s="971"/>
      <c r="I134" s="414" t="s">
        <v>432</v>
      </c>
      <c r="J134" s="415" t="s">
        <v>1325</v>
      </c>
      <c r="K134" s="188" t="s">
        <v>1317</v>
      </c>
      <c r="L134" s="395" t="s">
        <v>461</v>
      </c>
      <c r="M134" s="396" t="s">
        <v>462</v>
      </c>
      <c r="N134" s="396" t="s">
        <v>1324</v>
      </c>
      <c r="O134" s="1005" t="s">
        <v>18</v>
      </c>
      <c r="P134" s="952"/>
    </row>
    <row r="135" spans="1:19">
      <c r="A135" s="189" t="s">
        <v>433</v>
      </c>
      <c r="B135" s="190">
        <f t="shared" ref="B135:G135" si="41">+B152-B140-B139-B138-B137</f>
        <v>0</v>
      </c>
      <c r="C135" s="191">
        <f t="shared" si="41"/>
        <v>57792</v>
      </c>
      <c r="D135" s="192">
        <f t="shared" si="41"/>
        <v>0</v>
      </c>
      <c r="E135" s="193">
        <f t="shared" si="41"/>
        <v>0</v>
      </c>
      <c r="F135" s="193">
        <f t="shared" si="41"/>
        <v>0</v>
      </c>
      <c r="G135" s="194">
        <f t="shared" si="41"/>
        <v>57792</v>
      </c>
      <c r="H135" s="969"/>
      <c r="I135" s="189" t="s">
        <v>433</v>
      </c>
      <c r="J135" s="190">
        <f t="shared" ref="J135:O135" si="42">+J152-J140-J139-J138-J137</f>
        <v>0</v>
      </c>
      <c r="K135" s="191">
        <f t="shared" si="42"/>
        <v>387099</v>
      </c>
      <c r="L135" s="192">
        <f t="shared" si="42"/>
        <v>0</v>
      </c>
      <c r="M135" s="193">
        <f t="shared" si="42"/>
        <v>0</v>
      </c>
      <c r="N135" s="193">
        <f t="shared" si="42"/>
        <v>0</v>
      </c>
      <c r="O135" s="194">
        <f t="shared" si="42"/>
        <v>387099</v>
      </c>
      <c r="P135" s="182"/>
    </row>
    <row r="136" spans="1:19">
      <c r="A136" s="195" t="s">
        <v>434</v>
      </c>
      <c r="B136" s="196"/>
      <c r="C136" s="197"/>
      <c r="D136" s="198"/>
      <c r="E136" s="199"/>
      <c r="F136" s="199"/>
      <c r="G136" s="200">
        <f>+B136+C136+D136+E136+F136</f>
        <v>0</v>
      </c>
      <c r="H136" s="969"/>
      <c r="I136" s="195" t="s">
        <v>434</v>
      </c>
      <c r="J136" s="196"/>
      <c r="K136" s="197"/>
      <c r="L136" s="198"/>
      <c r="M136" s="199"/>
      <c r="N136" s="199"/>
      <c r="O136" s="200">
        <f>+J136+K136+L136+M136+N136</f>
        <v>0</v>
      </c>
      <c r="P136" s="953"/>
      <c r="Q136" s="141"/>
    </row>
    <row r="137" spans="1:19">
      <c r="A137" s="201" t="s">
        <v>435</v>
      </c>
      <c r="B137" s="202"/>
      <c r="C137" s="203"/>
      <c r="D137" s="204"/>
      <c r="E137" s="205"/>
      <c r="F137" s="205"/>
      <c r="G137" s="206">
        <f>+B137+C137+D137+E137+F137</f>
        <v>0</v>
      </c>
      <c r="H137" s="969"/>
      <c r="I137" s="201" t="s">
        <v>435</v>
      </c>
      <c r="J137" s="202"/>
      <c r="K137" s="203"/>
      <c r="L137" s="204"/>
      <c r="M137" s="205"/>
      <c r="N137" s="205"/>
      <c r="O137" s="206">
        <f>+J137+K137+L137+M137+N137</f>
        <v>0</v>
      </c>
      <c r="P137" s="182"/>
      <c r="Q137" s="141"/>
      <c r="R137" s="141"/>
      <c r="S137" s="141"/>
    </row>
    <row r="138" spans="1:19">
      <c r="A138" s="201" t="s">
        <v>436</v>
      </c>
      <c r="B138" s="202"/>
      <c r="C138" s="203"/>
      <c r="D138" s="204"/>
      <c r="E138" s="205"/>
      <c r="F138" s="205"/>
      <c r="G138" s="206">
        <f>+B138+C138+D138+E138+F138</f>
        <v>0</v>
      </c>
      <c r="H138" s="969"/>
      <c r="I138" s="201" t="s">
        <v>436</v>
      </c>
      <c r="J138" s="202"/>
      <c r="K138" s="203"/>
      <c r="L138" s="204"/>
      <c r="M138" s="205"/>
      <c r="N138" s="205"/>
      <c r="O138" s="206">
        <f>+J138+K138+L138+M138+N138</f>
        <v>0</v>
      </c>
      <c r="P138" s="182"/>
      <c r="Q138" s="141"/>
    </row>
    <row r="139" spans="1:19">
      <c r="A139" s="201" t="s">
        <v>437</v>
      </c>
      <c r="B139" s="202"/>
      <c r="C139" s="203"/>
      <c r="D139" s="204"/>
      <c r="E139" s="205"/>
      <c r="F139" s="205"/>
      <c r="G139" s="206">
        <f>+B139+C139+D139+E139+F139</f>
        <v>0</v>
      </c>
      <c r="H139" s="969"/>
      <c r="I139" s="201" t="s">
        <v>437</v>
      </c>
      <c r="J139" s="202"/>
      <c r="K139" s="203"/>
      <c r="L139" s="204"/>
      <c r="M139" s="205"/>
      <c r="N139" s="205"/>
      <c r="O139" s="206">
        <f>+J139+K139+L139+M139+N139</f>
        <v>0</v>
      </c>
      <c r="P139" s="182"/>
      <c r="Q139" s="141"/>
    </row>
    <row r="140" spans="1:19" ht="12.75" thickBot="1">
      <c r="A140" s="201" t="s">
        <v>438</v>
      </c>
      <c r="B140" s="202"/>
      <c r="C140" s="203"/>
      <c r="D140" s="204"/>
      <c r="E140" s="205"/>
      <c r="F140" s="205"/>
      <c r="G140" s="206">
        <f>+B140+C140+D140+E140+F140</f>
        <v>0</v>
      </c>
      <c r="H140" s="969"/>
      <c r="I140" s="201" t="s">
        <v>438</v>
      </c>
      <c r="J140" s="202"/>
      <c r="K140" s="203"/>
      <c r="L140" s="204"/>
      <c r="M140" s="205"/>
      <c r="N140" s="205"/>
      <c r="O140" s="206">
        <f>+J140+K140+L140+M140+N140</f>
        <v>0</v>
      </c>
      <c r="P140" s="182"/>
      <c r="Q140" s="141"/>
    </row>
    <row r="141" spans="1:19" ht="12.75" thickBot="1">
      <c r="A141" s="181" t="s">
        <v>439</v>
      </c>
      <c r="B141" s="207">
        <f t="shared" ref="B141:G141" si="43">+B135+B137+B138+B139+B140</f>
        <v>0</v>
      </c>
      <c r="C141" s="208">
        <f t="shared" si="43"/>
        <v>57792</v>
      </c>
      <c r="D141" s="209">
        <f t="shared" si="43"/>
        <v>0</v>
      </c>
      <c r="E141" s="207">
        <f t="shared" si="43"/>
        <v>0</v>
      </c>
      <c r="F141" s="207">
        <f t="shared" si="43"/>
        <v>0</v>
      </c>
      <c r="G141" s="208">
        <f t="shared" si="43"/>
        <v>57792</v>
      </c>
      <c r="H141" s="969"/>
      <c r="I141" s="181" t="s">
        <v>439</v>
      </c>
      <c r="J141" s="207">
        <f t="shared" ref="J141:O141" si="44">+J135+J137+J138+J139+J140</f>
        <v>0</v>
      </c>
      <c r="K141" s="208">
        <f t="shared" si="44"/>
        <v>387099</v>
      </c>
      <c r="L141" s="209">
        <f t="shared" si="44"/>
        <v>0</v>
      </c>
      <c r="M141" s="207">
        <f t="shared" si="44"/>
        <v>0</v>
      </c>
      <c r="N141" s="207">
        <f t="shared" si="44"/>
        <v>0</v>
      </c>
      <c r="O141" s="208">
        <f t="shared" si="44"/>
        <v>387099</v>
      </c>
      <c r="P141" s="182"/>
    </row>
    <row r="142" spans="1:19" ht="12.75" thickBot="1">
      <c r="A142" s="210"/>
      <c r="B142" s="210"/>
      <c r="C142" s="210"/>
      <c r="D142" s="210"/>
      <c r="E142" s="210"/>
      <c r="F142" s="210"/>
      <c r="G142" s="210"/>
      <c r="H142" s="969"/>
      <c r="I142" s="210"/>
      <c r="J142" s="210"/>
      <c r="K142" s="210"/>
      <c r="L142" s="210"/>
      <c r="M142" s="210"/>
      <c r="N142" s="210"/>
      <c r="O142" s="210"/>
      <c r="P142" s="210"/>
    </row>
    <row r="143" spans="1:19" s="968" customFormat="1" ht="24.75" thickBot="1">
      <c r="A143" s="414" t="s">
        <v>432</v>
      </c>
      <c r="B143" s="415" t="s">
        <v>1325</v>
      </c>
      <c r="C143" s="188" t="s">
        <v>1317</v>
      </c>
      <c r="D143" s="395" t="s">
        <v>461</v>
      </c>
      <c r="E143" s="396" t="s">
        <v>462</v>
      </c>
      <c r="F143" s="396" t="s">
        <v>1324</v>
      </c>
      <c r="G143" s="1005" t="s">
        <v>18</v>
      </c>
      <c r="H143" s="971"/>
      <c r="I143" s="414" t="s">
        <v>432</v>
      </c>
      <c r="J143" s="415" t="s">
        <v>1325</v>
      </c>
      <c r="K143" s="188" t="s">
        <v>1317</v>
      </c>
      <c r="L143" s="395" t="s">
        <v>461</v>
      </c>
      <c r="M143" s="396" t="s">
        <v>462</v>
      </c>
      <c r="N143" s="396" t="s">
        <v>1324</v>
      </c>
      <c r="O143" s="1005" t="s">
        <v>18</v>
      </c>
      <c r="P143" s="952"/>
    </row>
    <row r="144" spans="1:19">
      <c r="A144" s="189" t="s">
        <v>446</v>
      </c>
      <c r="B144" s="190"/>
      <c r="C144" s="191"/>
      <c r="D144" s="192"/>
      <c r="E144" s="193"/>
      <c r="F144" s="193"/>
      <c r="G144" s="194">
        <f t="shared" ref="G144:G151" si="45">+B144+C144+D144+E144+F144</f>
        <v>0</v>
      </c>
      <c r="H144" s="969"/>
      <c r="I144" s="189" t="s">
        <v>446</v>
      </c>
      <c r="J144" s="190"/>
      <c r="K144" s="191"/>
      <c r="L144" s="192"/>
      <c r="M144" s="193"/>
      <c r="N144" s="193"/>
      <c r="O144" s="194">
        <f t="shared" ref="O144:O151" si="46">+J144+K144+L144+M144+N144</f>
        <v>0</v>
      </c>
      <c r="P144" s="182"/>
      <c r="Q144" s="141"/>
      <c r="R144" s="141"/>
      <c r="S144" s="141"/>
    </row>
    <row r="145" spans="1:19">
      <c r="A145" s="211" t="s">
        <v>447</v>
      </c>
      <c r="B145" s="202"/>
      <c r="C145" s="203"/>
      <c r="D145" s="204"/>
      <c r="E145" s="205"/>
      <c r="F145" s="205"/>
      <c r="G145" s="206">
        <f t="shared" si="45"/>
        <v>0</v>
      </c>
      <c r="H145" s="969"/>
      <c r="I145" s="211" t="s">
        <v>447</v>
      </c>
      <c r="J145" s="202"/>
      <c r="K145" s="203"/>
      <c r="L145" s="204"/>
      <c r="M145" s="205"/>
      <c r="N145" s="205"/>
      <c r="O145" s="206">
        <f t="shared" si="46"/>
        <v>0</v>
      </c>
      <c r="P145" s="182"/>
      <c r="Q145" s="141"/>
      <c r="R145" s="141"/>
      <c r="S145" s="141"/>
    </row>
    <row r="146" spans="1:19">
      <c r="A146" s="201" t="s">
        <v>448</v>
      </c>
      <c r="B146" s="202"/>
      <c r="C146" s="203"/>
      <c r="D146" s="204"/>
      <c r="E146" s="205"/>
      <c r="F146" s="205"/>
      <c r="G146" s="206">
        <f t="shared" si="45"/>
        <v>0</v>
      </c>
      <c r="H146" s="969"/>
      <c r="I146" s="201" t="s">
        <v>448</v>
      </c>
      <c r="J146" s="202"/>
      <c r="K146" s="203"/>
      <c r="L146" s="204"/>
      <c r="M146" s="205"/>
      <c r="N146" s="205"/>
      <c r="O146" s="206">
        <f t="shared" si="46"/>
        <v>0</v>
      </c>
      <c r="P146" s="182"/>
      <c r="Q146" s="141"/>
      <c r="R146" s="141"/>
      <c r="S146" s="141"/>
    </row>
    <row r="147" spans="1:19">
      <c r="A147" s="201" t="s">
        <v>449</v>
      </c>
      <c r="B147" s="202"/>
      <c r="C147" s="203"/>
      <c r="D147" s="204"/>
      <c r="E147" s="205"/>
      <c r="F147" s="205"/>
      <c r="G147" s="206">
        <f t="shared" si="45"/>
        <v>0</v>
      </c>
      <c r="H147" s="969"/>
      <c r="I147" s="201" t="s">
        <v>449</v>
      </c>
      <c r="J147" s="202"/>
      <c r="K147" s="203"/>
      <c r="L147" s="204"/>
      <c r="M147" s="205"/>
      <c r="N147" s="205"/>
      <c r="O147" s="206">
        <f t="shared" si="46"/>
        <v>0</v>
      </c>
      <c r="P147" s="182"/>
      <c r="Q147" s="141"/>
      <c r="S147" s="141"/>
    </row>
    <row r="148" spans="1:19">
      <c r="A148" s="212" t="s">
        <v>450</v>
      </c>
      <c r="B148" s="213"/>
      <c r="C148" s="203">
        <v>57792</v>
      </c>
      <c r="D148" s="204"/>
      <c r="E148" s="205"/>
      <c r="F148" s="205"/>
      <c r="G148" s="206">
        <f t="shared" si="45"/>
        <v>57792</v>
      </c>
      <c r="H148" s="969"/>
      <c r="I148" s="212" t="s">
        <v>450</v>
      </c>
      <c r="J148" s="213"/>
      <c r="K148" s="203">
        <v>387099</v>
      </c>
      <c r="L148" s="204"/>
      <c r="M148" s="205"/>
      <c r="N148" s="205"/>
      <c r="O148" s="206">
        <f t="shared" si="46"/>
        <v>387099</v>
      </c>
      <c r="P148" s="182"/>
      <c r="Q148" s="141"/>
      <c r="R148" s="141"/>
      <c r="S148" s="141"/>
    </row>
    <row r="149" spans="1:19">
      <c r="A149" s="212" t="s">
        <v>451</v>
      </c>
      <c r="B149" s="213"/>
      <c r="C149" s="203"/>
      <c r="D149" s="204"/>
      <c r="E149" s="205"/>
      <c r="F149" s="205"/>
      <c r="G149" s="206">
        <f t="shared" si="45"/>
        <v>0</v>
      </c>
      <c r="H149" s="969"/>
      <c r="I149" s="212" t="s">
        <v>451</v>
      </c>
      <c r="J149" s="213"/>
      <c r="K149" s="203"/>
      <c r="L149" s="204"/>
      <c r="M149" s="205"/>
      <c r="N149" s="205"/>
      <c r="O149" s="206">
        <f t="shared" si="46"/>
        <v>0</v>
      </c>
      <c r="P149" s="182"/>
      <c r="Q149" s="141"/>
      <c r="R149" s="141"/>
      <c r="S149" s="141"/>
    </row>
    <row r="150" spans="1:19">
      <c r="A150" s="214" t="s">
        <v>452</v>
      </c>
      <c r="B150" s="215"/>
      <c r="C150" s="216"/>
      <c r="D150" s="217"/>
      <c r="E150" s="218"/>
      <c r="F150" s="218"/>
      <c r="G150" s="206">
        <f t="shared" si="45"/>
        <v>0</v>
      </c>
      <c r="H150" s="969"/>
      <c r="I150" s="214" t="s">
        <v>452</v>
      </c>
      <c r="J150" s="215"/>
      <c r="K150" s="216"/>
      <c r="L150" s="204"/>
      <c r="M150" s="218"/>
      <c r="N150" s="218"/>
      <c r="O150" s="206">
        <f t="shared" si="46"/>
        <v>0</v>
      </c>
      <c r="P150" s="182"/>
      <c r="Q150" s="141"/>
      <c r="R150" s="141"/>
      <c r="S150" s="141"/>
    </row>
    <row r="151" spans="1:19" ht="12.75" thickBot="1">
      <c r="A151" s="214" t="s">
        <v>453</v>
      </c>
      <c r="B151" s="215"/>
      <c r="C151" s="216"/>
      <c r="D151" s="217"/>
      <c r="E151" s="218"/>
      <c r="F151" s="218"/>
      <c r="G151" s="206">
        <f t="shared" si="45"/>
        <v>0</v>
      </c>
      <c r="H151" s="969"/>
      <c r="I151" s="214" t="s">
        <v>453</v>
      </c>
      <c r="J151" s="215"/>
      <c r="K151" s="216"/>
      <c r="L151" s="217"/>
      <c r="M151" s="218"/>
      <c r="N151" s="218"/>
      <c r="O151" s="206">
        <f t="shared" si="46"/>
        <v>0</v>
      </c>
      <c r="P151" s="182"/>
      <c r="Q151" s="141"/>
      <c r="R151" s="141"/>
      <c r="S151" s="141"/>
    </row>
    <row r="152" spans="1:19" ht="12.75" thickBot="1">
      <c r="A152" s="181" t="s">
        <v>454</v>
      </c>
      <c r="B152" s="207">
        <f t="shared" ref="B152:G152" si="47">+B144+B145+B146+B147+B148+B149+B150+B151</f>
        <v>0</v>
      </c>
      <c r="C152" s="208">
        <f t="shared" si="47"/>
        <v>57792</v>
      </c>
      <c r="D152" s="209">
        <f t="shared" si="47"/>
        <v>0</v>
      </c>
      <c r="E152" s="207">
        <f t="shared" si="47"/>
        <v>0</v>
      </c>
      <c r="F152" s="207">
        <f t="shared" si="47"/>
        <v>0</v>
      </c>
      <c r="G152" s="208">
        <f t="shared" si="47"/>
        <v>57792</v>
      </c>
      <c r="I152" s="181" t="s">
        <v>454</v>
      </c>
      <c r="J152" s="207">
        <f t="shared" ref="J152:O152" si="48">+J144+J145+J146+J147+J148+J149+J150+J151</f>
        <v>0</v>
      </c>
      <c r="K152" s="208">
        <f t="shared" si="48"/>
        <v>387099</v>
      </c>
      <c r="L152" s="209">
        <f t="shared" si="48"/>
        <v>0</v>
      </c>
      <c r="M152" s="207">
        <f t="shared" si="48"/>
        <v>0</v>
      </c>
      <c r="N152" s="207">
        <f t="shared" si="48"/>
        <v>0</v>
      </c>
      <c r="O152" s="208">
        <f t="shared" si="48"/>
        <v>387099</v>
      </c>
      <c r="P152" s="182"/>
      <c r="R152" s="969"/>
    </row>
    <row r="153" spans="1:19">
      <c r="A153" s="182"/>
      <c r="B153" s="182"/>
      <c r="C153" s="182"/>
      <c r="D153" s="182"/>
      <c r="E153" s="182"/>
      <c r="F153" s="182"/>
      <c r="G153" s="182"/>
      <c r="H153" s="969"/>
      <c r="I153" s="182"/>
      <c r="J153" s="182"/>
      <c r="K153" s="182"/>
      <c r="L153" s="182"/>
      <c r="M153" s="182"/>
      <c r="N153" s="182"/>
      <c r="O153" s="182"/>
      <c r="P153" s="182"/>
    </row>
    <row r="155" spans="1:19" s="962" customFormat="1" ht="15.75">
      <c r="A155" s="180" t="s">
        <v>1238</v>
      </c>
      <c r="B155" s="1002" t="s">
        <v>1230</v>
      </c>
      <c r="C155" s="1002"/>
      <c r="D155" s="1002"/>
      <c r="E155" s="1002"/>
      <c r="F155" s="1002"/>
      <c r="G155" s="1002"/>
      <c r="H155" s="854"/>
      <c r="I155" s="180" t="s">
        <v>1240</v>
      </c>
      <c r="J155" s="1002" t="s">
        <v>1558</v>
      </c>
      <c r="K155" s="1002"/>
      <c r="L155" s="1002"/>
      <c r="M155" s="1002"/>
      <c r="N155" s="1002"/>
      <c r="O155" s="1002"/>
      <c r="P155" s="1002"/>
    </row>
    <row r="156" spans="1:19" s="962" customFormat="1" ht="15.75" customHeight="1">
      <c r="A156" s="1405" t="s">
        <v>1595</v>
      </c>
      <c r="B156" s="1405"/>
      <c r="C156" s="1405"/>
      <c r="D156" s="1405"/>
      <c r="E156" s="1405"/>
      <c r="F156" s="1405"/>
      <c r="G156" s="1405"/>
      <c r="H156" s="854"/>
      <c r="I156" s="1405" t="s">
        <v>1596</v>
      </c>
      <c r="J156" s="1405"/>
      <c r="K156" s="1405"/>
      <c r="L156" s="1405"/>
      <c r="M156" s="1405"/>
      <c r="N156" s="1405"/>
      <c r="O156" s="1405"/>
      <c r="P156" s="1003"/>
    </row>
    <row r="157" spans="1:19" s="962" customFormat="1" ht="15.75">
      <c r="A157" s="1466" t="s">
        <v>1126</v>
      </c>
      <c r="B157" s="1466"/>
      <c r="C157" s="1466"/>
      <c r="D157" s="1466"/>
      <c r="E157" s="1466"/>
      <c r="F157" s="1466"/>
      <c r="G157" s="1466"/>
      <c r="H157" s="854"/>
      <c r="I157" s="1466" t="s">
        <v>1126</v>
      </c>
      <c r="J157" s="1466"/>
      <c r="K157" s="1466"/>
      <c r="L157" s="1466"/>
      <c r="M157" s="1466"/>
      <c r="N157" s="1466"/>
      <c r="O157" s="1466"/>
      <c r="P157" s="1004"/>
    </row>
    <row r="158" spans="1:19" s="965" customFormat="1" ht="12.75" thickBot="1">
      <c r="A158" s="964"/>
      <c r="B158" s="964"/>
      <c r="D158" s="964"/>
      <c r="E158" s="964"/>
      <c r="G158" s="230" t="s">
        <v>281</v>
      </c>
      <c r="H158" s="966"/>
      <c r="I158" s="964"/>
      <c r="J158" s="964"/>
      <c r="K158" s="964"/>
      <c r="L158" s="964"/>
      <c r="M158" s="964"/>
      <c r="O158" s="230" t="s">
        <v>281</v>
      </c>
      <c r="P158" s="951"/>
    </row>
    <row r="159" spans="1:19" s="968" customFormat="1" ht="24.75" thickBot="1">
      <c r="A159" s="414" t="s">
        <v>432</v>
      </c>
      <c r="B159" s="415" t="s">
        <v>1325</v>
      </c>
      <c r="C159" s="188" t="s">
        <v>1317</v>
      </c>
      <c r="D159" s="395" t="s">
        <v>461</v>
      </c>
      <c r="E159" s="396" t="s">
        <v>462</v>
      </c>
      <c r="F159" s="396" t="s">
        <v>1324</v>
      </c>
      <c r="G159" s="1005" t="s">
        <v>18</v>
      </c>
      <c r="H159" s="971"/>
      <c r="I159" s="414" t="s">
        <v>432</v>
      </c>
      <c r="J159" s="415" t="s">
        <v>1325</v>
      </c>
      <c r="K159" s="188" t="s">
        <v>1317</v>
      </c>
      <c r="L159" s="395" t="s">
        <v>461</v>
      </c>
      <c r="M159" s="396" t="s">
        <v>462</v>
      </c>
      <c r="N159" s="396" t="s">
        <v>1324</v>
      </c>
      <c r="O159" s="1005" t="s">
        <v>18</v>
      </c>
      <c r="P159" s="952"/>
    </row>
    <row r="160" spans="1:19">
      <c r="A160" s="189" t="s">
        <v>433</v>
      </c>
      <c r="B160" s="190">
        <f t="shared" ref="B160:G160" si="49">+B177-B165-B164-B163-B162</f>
        <v>0</v>
      </c>
      <c r="C160" s="191">
        <f t="shared" si="49"/>
        <v>25559</v>
      </c>
      <c r="D160" s="192">
        <f t="shared" si="49"/>
        <v>0</v>
      </c>
      <c r="E160" s="193">
        <f t="shared" si="49"/>
        <v>0</v>
      </c>
      <c r="F160" s="193">
        <f t="shared" si="49"/>
        <v>0</v>
      </c>
      <c r="G160" s="194">
        <f t="shared" si="49"/>
        <v>25559</v>
      </c>
      <c r="H160" s="969"/>
      <c r="I160" s="189" t="s">
        <v>433</v>
      </c>
      <c r="J160" s="190">
        <f t="shared" ref="J160:O160" si="50">+J177-J165-J164-J163-J162</f>
        <v>0</v>
      </c>
      <c r="K160" s="191">
        <f t="shared" si="50"/>
        <v>62052</v>
      </c>
      <c r="L160" s="192">
        <f t="shared" si="50"/>
        <v>0</v>
      </c>
      <c r="M160" s="193">
        <f t="shared" si="50"/>
        <v>0</v>
      </c>
      <c r="N160" s="193">
        <f t="shared" si="50"/>
        <v>0</v>
      </c>
      <c r="O160" s="194">
        <f t="shared" si="50"/>
        <v>62052</v>
      </c>
      <c r="P160" s="182"/>
    </row>
    <row r="161" spans="1:19">
      <c r="A161" s="195" t="s">
        <v>434</v>
      </c>
      <c r="B161" s="196"/>
      <c r="C161" s="197"/>
      <c r="D161" s="198"/>
      <c r="E161" s="199"/>
      <c r="F161" s="199"/>
      <c r="G161" s="200">
        <f>+B161+C161+D161+E161+F161</f>
        <v>0</v>
      </c>
      <c r="H161" s="969"/>
      <c r="I161" s="195" t="s">
        <v>434</v>
      </c>
      <c r="J161" s="196"/>
      <c r="K161" s="197"/>
      <c r="L161" s="198"/>
      <c r="M161" s="199"/>
      <c r="N161" s="199"/>
      <c r="O161" s="200">
        <f>+J161+K161+L161+M161+N161</f>
        <v>0</v>
      </c>
      <c r="P161" s="953"/>
      <c r="Q161" s="141"/>
    </row>
    <row r="162" spans="1:19">
      <c r="A162" s="201" t="s">
        <v>435</v>
      </c>
      <c r="B162" s="202"/>
      <c r="C162" s="203"/>
      <c r="D162" s="204"/>
      <c r="E162" s="205"/>
      <c r="F162" s="205"/>
      <c r="G162" s="206">
        <f>+B162+C162+D162+E162+F162</f>
        <v>0</v>
      </c>
      <c r="H162" s="969"/>
      <c r="I162" s="201" t="s">
        <v>435</v>
      </c>
      <c r="J162" s="202"/>
      <c r="K162" s="203"/>
      <c r="L162" s="204"/>
      <c r="M162" s="205"/>
      <c r="N162" s="205"/>
      <c r="O162" s="206">
        <f>+J162+K162+L162+M162+N162</f>
        <v>0</v>
      </c>
      <c r="P162" s="182"/>
      <c r="Q162" s="141"/>
      <c r="R162" s="141"/>
      <c r="S162" s="141"/>
    </row>
    <row r="163" spans="1:19">
      <c r="A163" s="201" t="s">
        <v>436</v>
      </c>
      <c r="B163" s="202"/>
      <c r="C163" s="203"/>
      <c r="D163" s="204"/>
      <c r="E163" s="205"/>
      <c r="F163" s="205"/>
      <c r="G163" s="206">
        <f>+B163+C163+D163+E163+F163</f>
        <v>0</v>
      </c>
      <c r="H163" s="969"/>
      <c r="I163" s="201" t="s">
        <v>436</v>
      </c>
      <c r="J163" s="202"/>
      <c r="K163" s="203"/>
      <c r="L163" s="204"/>
      <c r="M163" s="205"/>
      <c r="N163" s="205"/>
      <c r="O163" s="206">
        <f>+J163+K163+L163+M163+N163</f>
        <v>0</v>
      </c>
      <c r="P163" s="182"/>
      <c r="Q163" s="141"/>
    </row>
    <row r="164" spans="1:19">
      <c r="A164" s="201" t="s">
        <v>437</v>
      </c>
      <c r="B164" s="202"/>
      <c r="C164" s="203"/>
      <c r="D164" s="204"/>
      <c r="E164" s="205"/>
      <c r="F164" s="205"/>
      <c r="G164" s="206">
        <f>+B164+C164+D164+E164+F164</f>
        <v>0</v>
      </c>
      <c r="H164" s="969"/>
      <c r="I164" s="201" t="s">
        <v>437</v>
      </c>
      <c r="J164" s="202"/>
      <c r="K164" s="203"/>
      <c r="L164" s="204"/>
      <c r="M164" s="205"/>
      <c r="N164" s="205"/>
      <c r="O164" s="206">
        <f>+J164+K164+L164+M164+N164</f>
        <v>0</v>
      </c>
      <c r="P164" s="182"/>
      <c r="Q164" s="141"/>
    </row>
    <row r="165" spans="1:19" ht="12.75" thickBot="1">
      <c r="A165" s="201" t="s">
        <v>438</v>
      </c>
      <c r="B165" s="202"/>
      <c r="C165" s="203"/>
      <c r="D165" s="204"/>
      <c r="E165" s="205"/>
      <c r="F165" s="205"/>
      <c r="G165" s="206">
        <f>+B165+C165+D165+E165+F165</f>
        <v>0</v>
      </c>
      <c r="H165" s="969"/>
      <c r="I165" s="201" t="s">
        <v>438</v>
      </c>
      <c r="J165" s="202"/>
      <c r="K165" s="203"/>
      <c r="L165" s="204"/>
      <c r="M165" s="205"/>
      <c r="N165" s="205"/>
      <c r="O165" s="206">
        <f>+J165+K165+L165+M165+N165</f>
        <v>0</v>
      </c>
      <c r="P165" s="182"/>
      <c r="Q165" s="141"/>
    </row>
    <row r="166" spans="1:19" ht="12.75" thickBot="1">
      <c r="A166" s="181" t="s">
        <v>439</v>
      </c>
      <c r="B166" s="207">
        <f t="shared" ref="B166:G166" si="51">+B160+B162+B163+B164+B165</f>
        <v>0</v>
      </c>
      <c r="C166" s="208">
        <f t="shared" si="51"/>
        <v>25559</v>
      </c>
      <c r="D166" s="209">
        <f t="shared" si="51"/>
        <v>0</v>
      </c>
      <c r="E166" s="207">
        <f t="shared" si="51"/>
        <v>0</v>
      </c>
      <c r="F166" s="207">
        <f t="shared" si="51"/>
        <v>0</v>
      </c>
      <c r="G166" s="208">
        <f t="shared" si="51"/>
        <v>25559</v>
      </c>
      <c r="H166" s="969"/>
      <c r="I166" s="181" t="s">
        <v>439</v>
      </c>
      <c r="J166" s="207">
        <f t="shared" ref="J166:O166" si="52">+J160+J162+J163+J164+J165</f>
        <v>0</v>
      </c>
      <c r="K166" s="208">
        <f t="shared" si="52"/>
        <v>62052</v>
      </c>
      <c r="L166" s="209">
        <f t="shared" si="52"/>
        <v>0</v>
      </c>
      <c r="M166" s="207">
        <f t="shared" si="52"/>
        <v>0</v>
      </c>
      <c r="N166" s="207">
        <f t="shared" si="52"/>
        <v>0</v>
      </c>
      <c r="O166" s="208">
        <f t="shared" si="52"/>
        <v>62052</v>
      </c>
      <c r="P166" s="182"/>
    </row>
    <row r="167" spans="1:19" ht="12.75" thickBot="1">
      <c r="A167" s="210"/>
      <c r="B167" s="210"/>
      <c r="C167" s="210"/>
      <c r="D167" s="210"/>
      <c r="E167" s="210"/>
      <c r="F167" s="210"/>
      <c r="G167" s="210"/>
      <c r="H167" s="969"/>
      <c r="I167" s="210"/>
      <c r="J167" s="210"/>
      <c r="K167" s="210"/>
      <c r="L167" s="210"/>
      <c r="M167" s="210"/>
      <c r="N167" s="210"/>
      <c r="O167" s="210"/>
      <c r="P167" s="210"/>
    </row>
    <row r="168" spans="1:19" s="968" customFormat="1" ht="24.75" thickBot="1">
      <c r="A168" s="414" t="s">
        <v>432</v>
      </c>
      <c r="B168" s="415" t="s">
        <v>1325</v>
      </c>
      <c r="C168" s="188" t="s">
        <v>1317</v>
      </c>
      <c r="D168" s="395" t="s">
        <v>461</v>
      </c>
      <c r="E168" s="396" t="s">
        <v>462</v>
      </c>
      <c r="F168" s="396" t="s">
        <v>1324</v>
      </c>
      <c r="G168" s="1005" t="s">
        <v>18</v>
      </c>
      <c r="H168" s="971"/>
      <c r="I168" s="414" t="s">
        <v>432</v>
      </c>
      <c r="J168" s="415" t="s">
        <v>1325</v>
      </c>
      <c r="K168" s="188" t="s">
        <v>1317</v>
      </c>
      <c r="L168" s="395" t="s">
        <v>461</v>
      </c>
      <c r="M168" s="396" t="s">
        <v>462</v>
      </c>
      <c r="N168" s="396" t="s">
        <v>1324</v>
      </c>
      <c r="O168" s="1005" t="s">
        <v>18</v>
      </c>
      <c r="P168" s="952"/>
    </row>
    <row r="169" spans="1:19">
      <c r="A169" s="189" t="s">
        <v>446</v>
      </c>
      <c r="B169" s="190"/>
      <c r="C169" s="191"/>
      <c r="D169" s="192"/>
      <c r="E169" s="193"/>
      <c r="F169" s="193"/>
      <c r="G169" s="194">
        <f t="shared" ref="G169:G176" si="53">+B169+C169+D169+E169+F169</f>
        <v>0</v>
      </c>
      <c r="H169" s="969"/>
      <c r="I169" s="189" t="s">
        <v>446</v>
      </c>
      <c r="J169" s="190"/>
      <c r="K169" s="191"/>
      <c r="L169" s="192"/>
      <c r="M169" s="193"/>
      <c r="N169" s="193"/>
      <c r="O169" s="194">
        <f t="shared" ref="O169:O176" si="54">+J169+K169+L169+M169+N169</f>
        <v>0</v>
      </c>
      <c r="P169" s="182"/>
      <c r="Q169" s="141"/>
      <c r="R169" s="141"/>
      <c r="S169" s="141"/>
    </row>
    <row r="170" spans="1:19">
      <c r="A170" s="211" t="s">
        <v>447</v>
      </c>
      <c r="B170" s="202"/>
      <c r="C170" s="203"/>
      <c r="D170" s="204"/>
      <c r="E170" s="205"/>
      <c r="F170" s="205"/>
      <c r="G170" s="206">
        <f t="shared" si="53"/>
        <v>0</v>
      </c>
      <c r="H170" s="969"/>
      <c r="I170" s="211" t="s">
        <v>447</v>
      </c>
      <c r="J170" s="202"/>
      <c r="K170" s="203"/>
      <c r="L170" s="204"/>
      <c r="M170" s="205"/>
      <c r="N170" s="205"/>
      <c r="O170" s="206">
        <f t="shared" si="54"/>
        <v>0</v>
      </c>
      <c r="P170" s="182"/>
      <c r="Q170" s="141"/>
      <c r="R170" s="141"/>
      <c r="S170" s="141"/>
    </row>
    <row r="171" spans="1:19">
      <c r="A171" s="201" t="s">
        <v>448</v>
      </c>
      <c r="B171" s="202"/>
      <c r="C171" s="203"/>
      <c r="D171" s="204"/>
      <c r="E171" s="205"/>
      <c r="F171" s="205"/>
      <c r="G171" s="206">
        <f t="shared" si="53"/>
        <v>0</v>
      </c>
      <c r="H171" s="969"/>
      <c r="I171" s="201" t="s">
        <v>448</v>
      </c>
      <c r="J171" s="202"/>
      <c r="K171" s="203"/>
      <c r="L171" s="204"/>
      <c r="M171" s="205"/>
      <c r="N171" s="205"/>
      <c r="O171" s="206">
        <f t="shared" si="54"/>
        <v>0</v>
      </c>
      <c r="P171" s="182"/>
      <c r="Q171" s="141"/>
      <c r="R171" s="141"/>
      <c r="S171" s="141"/>
    </row>
    <row r="172" spans="1:19">
      <c r="A172" s="201" t="s">
        <v>449</v>
      </c>
      <c r="B172" s="202"/>
      <c r="C172" s="203"/>
      <c r="D172" s="204"/>
      <c r="E172" s="205"/>
      <c r="F172" s="205"/>
      <c r="G172" s="206">
        <f t="shared" si="53"/>
        <v>0</v>
      </c>
      <c r="H172" s="969"/>
      <c r="I172" s="201" t="s">
        <v>449</v>
      </c>
      <c r="J172" s="202"/>
      <c r="K172" s="203"/>
      <c r="L172" s="204"/>
      <c r="M172" s="205"/>
      <c r="N172" s="205"/>
      <c r="O172" s="206">
        <f t="shared" si="54"/>
        <v>0</v>
      </c>
      <c r="P172" s="182"/>
      <c r="Q172" s="141"/>
      <c r="S172" s="141"/>
    </row>
    <row r="173" spans="1:19">
      <c r="A173" s="212" t="s">
        <v>450</v>
      </c>
      <c r="B173" s="213"/>
      <c r="C173" s="203">
        <f>25540+19</f>
        <v>25559</v>
      </c>
      <c r="D173" s="204"/>
      <c r="E173" s="205"/>
      <c r="F173" s="205"/>
      <c r="G173" s="206">
        <f t="shared" si="53"/>
        <v>25559</v>
      </c>
      <c r="H173" s="969"/>
      <c r="I173" s="212" t="s">
        <v>450</v>
      </c>
      <c r="J173" s="213"/>
      <c r="K173" s="203">
        <v>62052</v>
      </c>
      <c r="L173" s="204"/>
      <c r="M173" s="205"/>
      <c r="N173" s="205"/>
      <c r="O173" s="206">
        <f t="shared" si="54"/>
        <v>62052</v>
      </c>
      <c r="P173" s="182"/>
      <c r="Q173" s="141"/>
      <c r="R173" s="141"/>
      <c r="S173" s="141"/>
    </row>
    <row r="174" spans="1:19">
      <c r="A174" s="212" t="s">
        <v>451</v>
      </c>
      <c r="B174" s="213"/>
      <c r="C174" s="203"/>
      <c r="D174" s="204"/>
      <c r="E174" s="205"/>
      <c r="F174" s="205"/>
      <c r="G174" s="206">
        <f t="shared" si="53"/>
        <v>0</v>
      </c>
      <c r="H174" s="969"/>
      <c r="I174" s="212" t="s">
        <v>451</v>
      </c>
      <c r="J174" s="213"/>
      <c r="K174" s="203"/>
      <c r="L174" s="204"/>
      <c r="M174" s="205"/>
      <c r="N174" s="205"/>
      <c r="O174" s="206">
        <f t="shared" si="54"/>
        <v>0</v>
      </c>
      <c r="P174" s="182"/>
      <c r="Q174" s="141"/>
      <c r="R174" s="141"/>
      <c r="S174" s="141"/>
    </row>
    <row r="175" spans="1:19">
      <c r="A175" s="214" t="s">
        <v>452</v>
      </c>
      <c r="B175" s="215"/>
      <c r="C175" s="216"/>
      <c r="D175" s="217"/>
      <c r="E175" s="218"/>
      <c r="F175" s="218"/>
      <c r="G175" s="206">
        <f t="shared" si="53"/>
        <v>0</v>
      </c>
      <c r="H175" s="969"/>
      <c r="I175" s="214" t="s">
        <v>452</v>
      </c>
      <c r="J175" s="215"/>
      <c r="K175" s="216"/>
      <c r="L175" s="204"/>
      <c r="M175" s="218"/>
      <c r="N175" s="218"/>
      <c r="O175" s="206">
        <f t="shared" si="54"/>
        <v>0</v>
      </c>
      <c r="P175" s="182"/>
      <c r="Q175" s="141"/>
      <c r="R175" s="141"/>
      <c r="S175" s="141"/>
    </row>
    <row r="176" spans="1:19" ht="12.75" thickBot="1">
      <c r="A176" s="214" t="s">
        <v>453</v>
      </c>
      <c r="B176" s="215"/>
      <c r="C176" s="216"/>
      <c r="D176" s="217"/>
      <c r="E176" s="218"/>
      <c r="F176" s="218"/>
      <c r="G176" s="206">
        <f t="shared" si="53"/>
        <v>0</v>
      </c>
      <c r="H176" s="969"/>
      <c r="I176" s="214" t="s">
        <v>453</v>
      </c>
      <c r="J176" s="215"/>
      <c r="K176" s="216"/>
      <c r="L176" s="217"/>
      <c r="M176" s="218"/>
      <c r="N176" s="218"/>
      <c r="O176" s="206">
        <f t="shared" si="54"/>
        <v>0</v>
      </c>
      <c r="P176" s="182"/>
      <c r="Q176" s="141"/>
      <c r="R176" s="141"/>
      <c r="S176" s="141"/>
    </row>
    <row r="177" spans="1:19" ht="12.75" thickBot="1">
      <c r="A177" s="181" t="s">
        <v>454</v>
      </c>
      <c r="B177" s="207">
        <f t="shared" ref="B177:G177" si="55">+B169+B170+B171+B172+B173+B174+B175+B176</f>
        <v>0</v>
      </c>
      <c r="C177" s="208">
        <f t="shared" si="55"/>
        <v>25559</v>
      </c>
      <c r="D177" s="209">
        <f t="shared" si="55"/>
        <v>0</v>
      </c>
      <c r="E177" s="207">
        <f t="shared" si="55"/>
        <v>0</v>
      </c>
      <c r="F177" s="207">
        <f t="shared" si="55"/>
        <v>0</v>
      </c>
      <c r="G177" s="208">
        <f t="shared" si="55"/>
        <v>25559</v>
      </c>
      <c r="I177" s="181" t="s">
        <v>454</v>
      </c>
      <c r="J177" s="207">
        <f t="shared" ref="J177:O177" si="56">+J169+J170+J171+J172+J173+J174+J175+J176</f>
        <v>0</v>
      </c>
      <c r="K177" s="208">
        <f t="shared" si="56"/>
        <v>62052</v>
      </c>
      <c r="L177" s="209">
        <f t="shared" si="56"/>
        <v>0</v>
      </c>
      <c r="M177" s="207">
        <f t="shared" si="56"/>
        <v>0</v>
      </c>
      <c r="N177" s="207">
        <f t="shared" si="56"/>
        <v>0</v>
      </c>
      <c r="O177" s="208">
        <f t="shared" si="56"/>
        <v>62052</v>
      </c>
      <c r="P177" s="182"/>
      <c r="R177" s="969"/>
    </row>
    <row r="178" spans="1:19">
      <c r="A178" s="182"/>
      <c r="B178" s="182"/>
      <c r="C178" s="182"/>
      <c r="D178" s="182"/>
      <c r="E178" s="182"/>
      <c r="F178" s="182"/>
      <c r="G178" s="182"/>
      <c r="H178" s="969"/>
      <c r="I178" s="182"/>
      <c r="J178" s="182"/>
      <c r="K178" s="182"/>
      <c r="L178" s="182"/>
      <c r="M178" s="182"/>
      <c r="N178" s="182"/>
      <c r="O178" s="182"/>
      <c r="P178" s="182"/>
    </row>
    <row r="180" spans="1:19" s="962" customFormat="1" ht="15.75">
      <c r="A180" s="180" t="s">
        <v>1559</v>
      </c>
      <c r="B180" s="1002" t="s">
        <v>1571</v>
      </c>
      <c r="C180" s="1002"/>
      <c r="D180" s="1002"/>
      <c r="E180" s="1002"/>
      <c r="F180" s="1002"/>
      <c r="G180" s="1002"/>
      <c r="H180" s="854"/>
      <c r="I180" s="180" t="s">
        <v>1560</v>
      </c>
      <c r="J180" s="1002" t="s">
        <v>1573</v>
      </c>
      <c r="K180" s="1002"/>
      <c r="L180" s="1002"/>
      <c r="M180" s="1002"/>
      <c r="N180" s="1002"/>
      <c r="O180" s="1002"/>
      <c r="P180" s="1002"/>
    </row>
    <row r="181" spans="1:19" s="962" customFormat="1" ht="15.75" customHeight="1">
      <c r="A181" s="1405" t="s">
        <v>1572</v>
      </c>
      <c r="B181" s="1405"/>
      <c r="C181" s="1405"/>
      <c r="D181" s="1405"/>
      <c r="E181" s="1405"/>
      <c r="F181" s="1405"/>
      <c r="G181" s="1405"/>
      <c r="H181" s="854"/>
      <c r="I181" s="1405" t="s">
        <v>1574</v>
      </c>
      <c r="J181" s="1405"/>
      <c r="K181" s="1405"/>
      <c r="L181" s="1405"/>
      <c r="M181" s="1405"/>
      <c r="N181" s="1405"/>
      <c r="O181" s="1405"/>
      <c r="P181" s="1003"/>
    </row>
    <row r="182" spans="1:19" s="962" customFormat="1" ht="15.75">
      <c r="A182" s="1466" t="s">
        <v>1126</v>
      </c>
      <c r="B182" s="1466"/>
      <c r="C182" s="1466"/>
      <c r="D182" s="1466"/>
      <c r="E182" s="1466"/>
      <c r="F182" s="1466"/>
      <c r="G182" s="1466"/>
      <c r="H182" s="854"/>
      <c r="I182" s="1466" t="s">
        <v>1126</v>
      </c>
      <c r="J182" s="1466"/>
      <c r="K182" s="1466"/>
      <c r="L182" s="1466"/>
      <c r="M182" s="1466"/>
      <c r="N182" s="1466"/>
      <c r="O182" s="1466"/>
      <c r="P182" s="1004"/>
    </row>
    <row r="183" spans="1:19" s="965" customFormat="1" ht="12.75" thickBot="1">
      <c r="A183" s="964"/>
      <c r="B183" s="964"/>
      <c r="D183" s="964"/>
      <c r="E183" s="964"/>
      <c r="G183" s="230" t="s">
        <v>281</v>
      </c>
      <c r="H183" s="966"/>
      <c r="I183" s="964"/>
      <c r="J183" s="964"/>
      <c r="K183" s="964"/>
      <c r="L183" s="964"/>
      <c r="M183" s="964"/>
      <c r="O183" s="230" t="s">
        <v>281</v>
      </c>
      <c r="P183" s="951"/>
    </row>
    <row r="184" spans="1:19" s="968" customFormat="1" ht="24.75" thickBot="1">
      <c r="A184" s="414" t="s">
        <v>432</v>
      </c>
      <c r="B184" s="415" t="s">
        <v>1325</v>
      </c>
      <c r="C184" s="188" t="s">
        <v>1317</v>
      </c>
      <c r="D184" s="395" t="s">
        <v>461</v>
      </c>
      <c r="E184" s="396" t="s">
        <v>462</v>
      </c>
      <c r="F184" s="396" t="s">
        <v>1324</v>
      </c>
      <c r="G184" s="1005" t="s">
        <v>18</v>
      </c>
      <c r="H184" s="971"/>
      <c r="I184" s="414" t="s">
        <v>432</v>
      </c>
      <c r="J184" s="415" t="s">
        <v>1325</v>
      </c>
      <c r="K184" s="188" t="s">
        <v>1317</v>
      </c>
      <c r="L184" s="395" t="s">
        <v>461</v>
      </c>
      <c r="M184" s="396" t="s">
        <v>462</v>
      </c>
      <c r="N184" s="396" t="s">
        <v>1324</v>
      </c>
      <c r="O184" s="1005" t="s">
        <v>18</v>
      </c>
      <c r="P184" s="952"/>
    </row>
    <row r="185" spans="1:19">
      <c r="A185" s="189" t="s">
        <v>433</v>
      </c>
      <c r="B185" s="190">
        <f t="shared" ref="B185:G185" si="57">+B202-B190-B189-B188-B187</f>
        <v>0</v>
      </c>
      <c r="C185" s="191">
        <f t="shared" si="57"/>
        <v>68272</v>
      </c>
      <c r="D185" s="192">
        <f t="shared" si="57"/>
        <v>0</v>
      </c>
      <c r="E185" s="193">
        <f t="shared" si="57"/>
        <v>0</v>
      </c>
      <c r="F185" s="193">
        <f t="shared" si="57"/>
        <v>0</v>
      </c>
      <c r="G185" s="194">
        <f t="shared" si="57"/>
        <v>68272</v>
      </c>
      <c r="H185" s="969"/>
      <c r="I185" s="189" t="s">
        <v>433</v>
      </c>
      <c r="J185" s="190">
        <f t="shared" ref="J185:O185" si="58">+J202-J190-J189-J188-J187</f>
        <v>0</v>
      </c>
      <c r="K185" s="191">
        <f t="shared" si="58"/>
        <v>173184</v>
      </c>
      <c r="L185" s="192">
        <f t="shared" si="58"/>
        <v>0</v>
      </c>
      <c r="M185" s="193">
        <f t="shared" si="58"/>
        <v>0</v>
      </c>
      <c r="N185" s="193">
        <f t="shared" si="58"/>
        <v>0</v>
      </c>
      <c r="O185" s="194">
        <f t="shared" si="58"/>
        <v>173184</v>
      </c>
      <c r="P185" s="182"/>
    </row>
    <row r="186" spans="1:19">
      <c r="A186" s="195" t="s">
        <v>434</v>
      </c>
      <c r="B186" s="196"/>
      <c r="C186" s="197"/>
      <c r="D186" s="198"/>
      <c r="E186" s="199"/>
      <c r="F186" s="199"/>
      <c r="G186" s="200">
        <f>+B186+C186+D186+E186+F186</f>
        <v>0</v>
      </c>
      <c r="H186" s="969"/>
      <c r="I186" s="195" t="s">
        <v>434</v>
      </c>
      <c r="J186" s="196"/>
      <c r="K186" s="197"/>
      <c r="L186" s="198"/>
      <c r="M186" s="199"/>
      <c r="N186" s="199"/>
      <c r="O186" s="200">
        <f>+J186+K186+L186+M186+N186</f>
        <v>0</v>
      </c>
      <c r="P186" s="953"/>
      <c r="Q186" s="141"/>
    </row>
    <row r="187" spans="1:19">
      <c r="A187" s="201" t="s">
        <v>435</v>
      </c>
      <c r="B187" s="202"/>
      <c r="C187" s="203"/>
      <c r="D187" s="204"/>
      <c r="E187" s="205"/>
      <c r="F187" s="205"/>
      <c r="G187" s="206">
        <f>+B187+C187+D187+E187+F187</f>
        <v>0</v>
      </c>
      <c r="H187" s="969"/>
      <c r="I187" s="201" t="s">
        <v>435</v>
      </c>
      <c r="J187" s="202"/>
      <c r="K187" s="203"/>
      <c r="L187" s="204"/>
      <c r="M187" s="205"/>
      <c r="N187" s="205"/>
      <c r="O187" s="206">
        <f>+J187+K187+L187+M187+N187</f>
        <v>0</v>
      </c>
      <c r="P187" s="182"/>
      <c r="Q187" s="141"/>
      <c r="R187" s="141"/>
      <c r="S187" s="141"/>
    </row>
    <row r="188" spans="1:19">
      <c r="A188" s="201" t="s">
        <v>436</v>
      </c>
      <c r="B188" s="202"/>
      <c r="C188" s="203"/>
      <c r="D188" s="204"/>
      <c r="E188" s="205"/>
      <c r="F188" s="205"/>
      <c r="G188" s="206">
        <f>+B188+C188+D188+E188+F188</f>
        <v>0</v>
      </c>
      <c r="H188" s="969"/>
      <c r="I188" s="201" t="s">
        <v>436</v>
      </c>
      <c r="J188" s="202"/>
      <c r="K188" s="203"/>
      <c r="L188" s="204"/>
      <c r="M188" s="205"/>
      <c r="N188" s="205"/>
      <c r="O188" s="206">
        <f>+J188+K188+L188+M188+N188</f>
        <v>0</v>
      </c>
      <c r="P188" s="182"/>
      <c r="Q188" s="141"/>
    </row>
    <row r="189" spans="1:19">
      <c r="A189" s="201" t="s">
        <v>437</v>
      </c>
      <c r="B189" s="202"/>
      <c r="C189" s="203"/>
      <c r="D189" s="204"/>
      <c r="E189" s="205"/>
      <c r="F189" s="205"/>
      <c r="G189" s="206">
        <f>+B189+C189+D189+E189+F189</f>
        <v>0</v>
      </c>
      <c r="H189" s="969"/>
      <c r="I189" s="201" t="s">
        <v>437</v>
      </c>
      <c r="J189" s="202"/>
      <c r="K189" s="203"/>
      <c r="L189" s="204"/>
      <c r="M189" s="205"/>
      <c r="N189" s="205"/>
      <c r="O189" s="206">
        <f>+J189+K189+L189+M189+N189</f>
        <v>0</v>
      </c>
      <c r="P189" s="182"/>
      <c r="Q189" s="141"/>
    </row>
    <row r="190" spans="1:19" ht="12.75" thickBot="1">
      <c r="A190" s="201" t="s">
        <v>438</v>
      </c>
      <c r="B190" s="202"/>
      <c r="C190" s="203"/>
      <c r="D190" s="204"/>
      <c r="E190" s="205"/>
      <c r="F190" s="205"/>
      <c r="G190" s="206">
        <f>+B190+C190+D190+E190+F190</f>
        <v>0</v>
      </c>
      <c r="H190" s="969"/>
      <c r="I190" s="201" t="s">
        <v>438</v>
      </c>
      <c r="J190" s="202"/>
      <c r="K190" s="203"/>
      <c r="L190" s="204"/>
      <c r="M190" s="205"/>
      <c r="N190" s="205"/>
      <c r="O190" s="206">
        <f>+J190+K190+L190+M190+N190</f>
        <v>0</v>
      </c>
      <c r="P190" s="182"/>
      <c r="Q190" s="141"/>
    </row>
    <row r="191" spans="1:19" ht="12.75" thickBot="1">
      <c r="A191" s="181" t="s">
        <v>439</v>
      </c>
      <c r="B191" s="207">
        <f t="shared" ref="B191:G191" si="59">+B185+B187+B188+B189+B190</f>
        <v>0</v>
      </c>
      <c r="C191" s="208">
        <f t="shared" si="59"/>
        <v>68272</v>
      </c>
      <c r="D191" s="209">
        <f t="shared" si="59"/>
        <v>0</v>
      </c>
      <c r="E191" s="207">
        <f t="shared" si="59"/>
        <v>0</v>
      </c>
      <c r="F191" s="207">
        <f t="shared" si="59"/>
        <v>0</v>
      </c>
      <c r="G191" s="208">
        <f t="shared" si="59"/>
        <v>68272</v>
      </c>
      <c r="H191" s="969"/>
      <c r="I191" s="181" t="s">
        <v>439</v>
      </c>
      <c r="J191" s="207">
        <f t="shared" ref="J191:O191" si="60">+J185+J187+J188+J189+J190</f>
        <v>0</v>
      </c>
      <c r="K191" s="208">
        <f t="shared" si="60"/>
        <v>173184</v>
      </c>
      <c r="L191" s="209">
        <f t="shared" si="60"/>
        <v>0</v>
      </c>
      <c r="M191" s="207">
        <f t="shared" si="60"/>
        <v>0</v>
      </c>
      <c r="N191" s="207">
        <f t="shared" si="60"/>
        <v>0</v>
      </c>
      <c r="O191" s="208">
        <f t="shared" si="60"/>
        <v>173184</v>
      </c>
      <c r="P191" s="182"/>
    </row>
    <row r="192" spans="1:19" ht="12.75" thickBot="1">
      <c r="A192" s="210"/>
      <c r="B192" s="210"/>
      <c r="C192" s="210"/>
      <c r="D192" s="210"/>
      <c r="E192" s="210"/>
      <c r="F192" s="210"/>
      <c r="G192" s="210"/>
      <c r="H192" s="969"/>
      <c r="I192" s="210"/>
      <c r="J192" s="210"/>
      <c r="K192" s="210"/>
      <c r="L192" s="210"/>
      <c r="M192" s="210"/>
      <c r="N192" s="210"/>
      <c r="O192" s="210"/>
      <c r="P192" s="210"/>
    </row>
    <row r="193" spans="1:19" s="968" customFormat="1" ht="24.75" thickBot="1">
      <c r="A193" s="414" t="s">
        <v>432</v>
      </c>
      <c r="B193" s="415" t="s">
        <v>1325</v>
      </c>
      <c r="C193" s="188" t="s">
        <v>1317</v>
      </c>
      <c r="D193" s="395" t="s">
        <v>461</v>
      </c>
      <c r="E193" s="396" t="s">
        <v>462</v>
      </c>
      <c r="F193" s="396" t="s">
        <v>1324</v>
      </c>
      <c r="G193" s="1005" t="s">
        <v>18</v>
      </c>
      <c r="H193" s="971"/>
      <c r="I193" s="414" t="s">
        <v>432</v>
      </c>
      <c r="J193" s="415" t="s">
        <v>1325</v>
      </c>
      <c r="K193" s="188" t="s">
        <v>1317</v>
      </c>
      <c r="L193" s="395" t="s">
        <v>461</v>
      </c>
      <c r="M193" s="396" t="s">
        <v>462</v>
      </c>
      <c r="N193" s="396" t="s">
        <v>1324</v>
      </c>
      <c r="O193" s="1005" t="s">
        <v>18</v>
      </c>
      <c r="P193" s="952"/>
    </row>
    <row r="194" spans="1:19">
      <c r="A194" s="189" t="s">
        <v>446</v>
      </c>
      <c r="B194" s="190"/>
      <c r="C194" s="191"/>
      <c r="D194" s="192"/>
      <c r="E194" s="193"/>
      <c r="F194" s="193"/>
      <c r="G194" s="194">
        <f t="shared" ref="G194:G201" si="61">+B194+C194+D194+E194+F194</f>
        <v>0</v>
      </c>
      <c r="H194" s="969"/>
      <c r="I194" s="189" t="s">
        <v>446</v>
      </c>
      <c r="J194" s="190"/>
      <c r="K194" s="191"/>
      <c r="L194" s="192"/>
      <c r="M194" s="193"/>
      <c r="N194" s="193"/>
      <c r="O194" s="194">
        <f t="shared" ref="O194:O201" si="62">+J194+K194+L194+M194+N194</f>
        <v>0</v>
      </c>
      <c r="P194" s="182"/>
      <c r="Q194" s="141"/>
      <c r="R194" s="141"/>
      <c r="S194" s="141"/>
    </row>
    <row r="195" spans="1:19">
      <c r="A195" s="211" t="s">
        <v>447</v>
      </c>
      <c r="B195" s="202"/>
      <c r="C195" s="203"/>
      <c r="D195" s="204"/>
      <c r="E195" s="205"/>
      <c r="F195" s="205"/>
      <c r="G195" s="206">
        <f t="shared" si="61"/>
        <v>0</v>
      </c>
      <c r="H195" s="969"/>
      <c r="I195" s="211" t="s">
        <v>447</v>
      </c>
      <c r="J195" s="202"/>
      <c r="K195" s="203"/>
      <c r="L195" s="204"/>
      <c r="M195" s="205"/>
      <c r="N195" s="205"/>
      <c r="O195" s="206">
        <f t="shared" si="62"/>
        <v>0</v>
      </c>
      <c r="P195" s="182"/>
      <c r="Q195" s="141"/>
      <c r="R195" s="141"/>
      <c r="S195" s="141"/>
    </row>
    <row r="196" spans="1:19">
      <c r="A196" s="201" t="s">
        <v>448</v>
      </c>
      <c r="B196" s="202"/>
      <c r="C196" s="203"/>
      <c r="D196" s="204"/>
      <c r="E196" s="205"/>
      <c r="F196" s="205"/>
      <c r="G196" s="206">
        <f t="shared" si="61"/>
        <v>0</v>
      </c>
      <c r="H196" s="969"/>
      <c r="I196" s="201" t="s">
        <v>448</v>
      </c>
      <c r="J196" s="202"/>
      <c r="K196" s="203"/>
      <c r="L196" s="204"/>
      <c r="M196" s="205"/>
      <c r="N196" s="205"/>
      <c r="O196" s="206">
        <f t="shared" si="62"/>
        <v>0</v>
      </c>
      <c r="P196" s="182"/>
      <c r="Q196" s="141"/>
      <c r="R196" s="141"/>
      <c r="S196" s="141"/>
    </row>
    <row r="197" spans="1:19">
      <c r="A197" s="201" t="s">
        <v>449</v>
      </c>
      <c r="B197" s="202"/>
      <c r="C197" s="203"/>
      <c r="D197" s="204"/>
      <c r="E197" s="205"/>
      <c r="F197" s="205"/>
      <c r="G197" s="206">
        <f t="shared" si="61"/>
        <v>0</v>
      </c>
      <c r="H197" s="969"/>
      <c r="I197" s="201" t="s">
        <v>449</v>
      </c>
      <c r="J197" s="202"/>
      <c r="K197" s="203"/>
      <c r="L197" s="204"/>
      <c r="M197" s="205"/>
      <c r="N197" s="205"/>
      <c r="O197" s="206">
        <f t="shared" si="62"/>
        <v>0</v>
      </c>
      <c r="P197" s="182"/>
      <c r="Q197" s="141"/>
      <c r="S197" s="141"/>
    </row>
    <row r="198" spans="1:19">
      <c r="A198" s="212" t="s">
        <v>450</v>
      </c>
      <c r="B198" s="213"/>
      <c r="C198" s="203">
        <v>68272</v>
      </c>
      <c r="D198" s="204"/>
      <c r="E198" s="205"/>
      <c r="F198" s="205"/>
      <c r="G198" s="206">
        <f t="shared" si="61"/>
        <v>68272</v>
      </c>
      <c r="H198" s="969"/>
      <c r="I198" s="212" t="s">
        <v>450</v>
      </c>
      <c r="J198" s="213"/>
      <c r="K198" s="203">
        <v>173184</v>
      </c>
      <c r="L198" s="204"/>
      <c r="M198" s="205"/>
      <c r="N198" s="205"/>
      <c r="O198" s="206">
        <f t="shared" si="62"/>
        <v>173184</v>
      </c>
      <c r="P198" s="182"/>
      <c r="Q198" s="141"/>
      <c r="R198" s="141"/>
      <c r="S198" s="141"/>
    </row>
    <row r="199" spans="1:19">
      <c r="A199" s="212" t="s">
        <v>451</v>
      </c>
      <c r="B199" s="213"/>
      <c r="C199" s="203"/>
      <c r="D199" s="204"/>
      <c r="E199" s="205"/>
      <c r="F199" s="205"/>
      <c r="G199" s="206">
        <f t="shared" si="61"/>
        <v>0</v>
      </c>
      <c r="H199" s="969"/>
      <c r="I199" s="212" t="s">
        <v>451</v>
      </c>
      <c r="J199" s="213"/>
      <c r="K199" s="203"/>
      <c r="L199" s="204"/>
      <c r="M199" s="205"/>
      <c r="N199" s="205"/>
      <c r="O199" s="206">
        <f t="shared" si="62"/>
        <v>0</v>
      </c>
      <c r="P199" s="182"/>
      <c r="Q199" s="141"/>
      <c r="R199" s="141"/>
      <c r="S199" s="141"/>
    </row>
    <row r="200" spans="1:19">
      <c r="A200" s="214" t="s">
        <v>452</v>
      </c>
      <c r="B200" s="215"/>
      <c r="C200" s="216"/>
      <c r="D200" s="217"/>
      <c r="E200" s="218"/>
      <c r="F200" s="218"/>
      <c r="G200" s="206">
        <f t="shared" si="61"/>
        <v>0</v>
      </c>
      <c r="H200" s="969"/>
      <c r="I200" s="214" t="s">
        <v>452</v>
      </c>
      <c r="J200" s="215"/>
      <c r="K200" s="216"/>
      <c r="L200" s="204"/>
      <c r="M200" s="218"/>
      <c r="N200" s="218"/>
      <c r="O200" s="206">
        <f t="shared" si="62"/>
        <v>0</v>
      </c>
      <c r="P200" s="182"/>
      <c r="Q200" s="141"/>
      <c r="R200" s="141"/>
      <c r="S200" s="141"/>
    </row>
    <row r="201" spans="1:19" ht="12.75" thickBot="1">
      <c r="A201" s="214" t="s">
        <v>453</v>
      </c>
      <c r="B201" s="215"/>
      <c r="C201" s="216"/>
      <c r="D201" s="217"/>
      <c r="E201" s="218"/>
      <c r="F201" s="218"/>
      <c r="G201" s="206">
        <f t="shared" si="61"/>
        <v>0</v>
      </c>
      <c r="H201" s="969"/>
      <c r="I201" s="214" t="s">
        <v>453</v>
      </c>
      <c r="J201" s="215"/>
      <c r="K201" s="216"/>
      <c r="L201" s="217"/>
      <c r="M201" s="218"/>
      <c r="N201" s="218"/>
      <c r="O201" s="206">
        <f t="shared" si="62"/>
        <v>0</v>
      </c>
      <c r="P201" s="182"/>
      <c r="Q201" s="141"/>
      <c r="R201" s="141"/>
      <c r="S201" s="141"/>
    </row>
    <row r="202" spans="1:19" ht="12.75" thickBot="1">
      <c r="A202" s="181" t="s">
        <v>454</v>
      </c>
      <c r="B202" s="207">
        <f t="shared" ref="B202:G202" si="63">+B194+B195+B196+B197+B198+B199+B200+B201</f>
        <v>0</v>
      </c>
      <c r="C202" s="208">
        <f t="shared" si="63"/>
        <v>68272</v>
      </c>
      <c r="D202" s="209">
        <f t="shared" si="63"/>
        <v>0</v>
      </c>
      <c r="E202" s="207">
        <f t="shared" si="63"/>
        <v>0</v>
      </c>
      <c r="F202" s="207">
        <f t="shared" si="63"/>
        <v>0</v>
      </c>
      <c r="G202" s="208">
        <f t="shared" si="63"/>
        <v>68272</v>
      </c>
      <c r="I202" s="181" t="s">
        <v>454</v>
      </c>
      <c r="J202" s="207">
        <f t="shared" ref="J202:O202" si="64">+J194+J195+J196+J197+J198+J199+J200+J201</f>
        <v>0</v>
      </c>
      <c r="K202" s="208">
        <f t="shared" si="64"/>
        <v>173184</v>
      </c>
      <c r="L202" s="209">
        <f t="shared" si="64"/>
        <v>0</v>
      </c>
      <c r="M202" s="207">
        <f t="shared" si="64"/>
        <v>0</v>
      </c>
      <c r="N202" s="207">
        <f t="shared" si="64"/>
        <v>0</v>
      </c>
      <c r="O202" s="208">
        <f t="shared" si="64"/>
        <v>173184</v>
      </c>
      <c r="P202" s="182"/>
      <c r="R202" s="969"/>
    </row>
    <row r="203" spans="1:19">
      <c r="A203" s="182"/>
      <c r="B203" s="182"/>
      <c r="C203" s="182"/>
      <c r="D203" s="182"/>
      <c r="E203" s="182"/>
      <c r="F203" s="182"/>
      <c r="G203" s="182"/>
      <c r="H203" s="969"/>
      <c r="I203" s="182"/>
      <c r="J203" s="182"/>
      <c r="K203" s="182"/>
      <c r="L203" s="182"/>
      <c r="M203" s="182"/>
      <c r="N203" s="182"/>
      <c r="O203" s="182"/>
      <c r="P203" s="182"/>
    </row>
    <row r="205" spans="1:19" s="962" customFormat="1" ht="15.75">
      <c r="A205" s="180" t="s">
        <v>1561</v>
      </c>
      <c r="B205" s="1002" t="s">
        <v>1575</v>
      </c>
      <c r="C205" s="1002"/>
      <c r="D205" s="1002"/>
      <c r="E205" s="1002"/>
      <c r="F205" s="1002"/>
      <c r="G205" s="1002"/>
      <c r="H205" s="854"/>
      <c r="I205" s="180" t="s">
        <v>1562</v>
      </c>
      <c r="J205" s="1002" t="s">
        <v>1577</v>
      </c>
      <c r="K205" s="1002"/>
      <c r="L205" s="1002"/>
      <c r="M205" s="1002"/>
      <c r="N205" s="1002"/>
      <c r="O205" s="1002"/>
      <c r="P205" s="1002"/>
    </row>
    <row r="206" spans="1:19" s="962" customFormat="1" ht="15.75" customHeight="1">
      <c r="A206" s="1405" t="s">
        <v>1576</v>
      </c>
      <c r="B206" s="1405"/>
      <c r="C206" s="1405"/>
      <c r="D206" s="1405"/>
      <c r="E206" s="1405"/>
      <c r="F206" s="1405"/>
      <c r="G206" s="1405"/>
      <c r="H206" s="854"/>
      <c r="I206" s="1405" t="s">
        <v>1578</v>
      </c>
      <c r="J206" s="1405"/>
      <c r="K206" s="1405"/>
      <c r="L206" s="1405"/>
      <c r="M206" s="1405"/>
      <c r="N206" s="1405"/>
      <c r="O206" s="1405"/>
      <c r="P206" s="1003"/>
    </row>
    <row r="207" spans="1:19" s="962" customFormat="1" ht="15.75">
      <c r="A207" s="1466" t="s">
        <v>1126</v>
      </c>
      <c r="B207" s="1466"/>
      <c r="C207" s="1466"/>
      <c r="D207" s="1466"/>
      <c r="E207" s="1466"/>
      <c r="F207" s="1466"/>
      <c r="G207" s="1466"/>
      <c r="H207" s="854"/>
      <c r="I207" s="1466" t="s">
        <v>1126</v>
      </c>
      <c r="J207" s="1466"/>
      <c r="K207" s="1466"/>
      <c r="L207" s="1466"/>
      <c r="M207" s="1466"/>
      <c r="N207" s="1466"/>
      <c r="O207" s="1466"/>
      <c r="P207" s="1004"/>
    </row>
    <row r="208" spans="1:19" s="965" customFormat="1" ht="12.75" thickBot="1">
      <c r="A208" s="964"/>
      <c r="B208" s="964"/>
      <c r="D208" s="964"/>
      <c r="E208" s="964"/>
      <c r="G208" s="230" t="s">
        <v>281</v>
      </c>
      <c r="H208" s="966"/>
      <c r="I208" s="964"/>
      <c r="J208" s="964"/>
      <c r="K208" s="964"/>
      <c r="L208" s="964"/>
      <c r="M208" s="964"/>
      <c r="O208" s="230" t="s">
        <v>281</v>
      </c>
      <c r="P208" s="951"/>
    </row>
    <row r="209" spans="1:19" s="968" customFormat="1" ht="24.75" thickBot="1">
      <c r="A209" s="414" t="s">
        <v>432</v>
      </c>
      <c r="B209" s="415" t="s">
        <v>1325</v>
      </c>
      <c r="C209" s="188" t="s">
        <v>1317</v>
      </c>
      <c r="D209" s="395" t="s">
        <v>461</v>
      </c>
      <c r="E209" s="396" t="s">
        <v>462</v>
      </c>
      <c r="F209" s="396" t="s">
        <v>1324</v>
      </c>
      <c r="G209" s="1005" t="s">
        <v>18</v>
      </c>
      <c r="H209" s="971"/>
      <c r="I209" s="414" t="s">
        <v>432</v>
      </c>
      <c r="J209" s="415" t="s">
        <v>1325</v>
      </c>
      <c r="K209" s="188" t="s">
        <v>1317</v>
      </c>
      <c r="L209" s="395" t="s">
        <v>461</v>
      </c>
      <c r="M209" s="396" t="s">
        <v>462</v>
      </c>
      <c r="N209" s="396" t="s">
        <v>1324</v>
      </c>
      <c r="O209" s="1005" t="s">
        <v>18</v>
      </c>
      <c r="P209" s="952"/>
    </row>
    <row r="210" spans="1:19">
      <c r="A210" s="189" t="s">
        <v>433</v>
      </c>
      <c r="B210" s="190">
        <f t="shared" ref="B210:G210" si="65">+B227-B215-B214-B213-B212</f>
        <v>0</v>
      </c>
      <c r="C210" s="191">
        <f t="shared" si="65"/>
        <v>482</v>
      </c>
      <c r="D210" s="192">
        <f t="shared" si="65"/>
        <v>0</v>
      </c>
      <c r="E210" s="193">
        <f t="shared" si="65"/>
        <v>0</v>
      </c>
      <c r="F210" s="193">
        <f t="shared" si="65"/>
        <v>0</v>
      </c>
      <c r="G210" s="194">
        <f t="shared" si="65"/>
        <v>482</v>
      </c>
      <c r="H210" s="969"/>
      <c r="I210" s="189" t="s">
        <v>433</v>
      </c>
      <c r="J210" s="190">
        <f t="shared" ref="J210:O210" si="66">+J227-J215-J214-J213-J212</f>
        <v>0</v>
      </c>
      <c r="K210" s="191">
        <f t="shared" si="66"/>
        <v>68674</v>
      </c>
      <c r="L210" s="192">
        <f t="shared" si="66"/>
        <v>0</v>
      </c>
      <c r="M210" s="193">
        <f t="shared" si="66"/>
        <v>0</v>
      </c>
      <c r="N210" s="193">
        <f t="shared" si="66"/>
        <v>0</v>
      </c>
      <c r="O210" s="194">
        <f t="shared" si="66"/>
        <v>68674</v>
      </c>
      <c r="P210" s="182"/>
    </row>
    <row r="211" spans="1:19">
      <c r="A211" s="195" t="s">
        <v>434</v>
      </c>
      <c r="B211" s="196"/>
      <c r="C211" s="197"/>
      <c r="D211" s="198"/>
      <c r="E211" s="199"/>
      <c r="F211" s="199"/>
      <c r="G211" s="200">
        <f>+B211+C211+D211+E211+F211</f>
        <v>0</v>
      </c>
      <c r="H211" s="969"/>
      <c r="I211" s="195" t="s">
        <v>434</v>
      </c>
      <c r="J211" s="196"/>
      <c r="K211" s="197"/>
      <c r="L211" s="198"/>
      <c r="M211" s="199"/>
      <c r="N211" s="199"/>
      <c r="O211" s="200">
        <f>+J211+K211+L211+M211+N211</f>
        <v>0</v>
      </c>
      <c r="P211" s="953"/>
      <c r="Q211" s="141"/>
    </row>
    <row r="212" spans="1:19">
      <c r="A212" s="201" t="s">
        <v>435</v>
      </c>
      <c r="B212" s="202"/>
      <c r="C212" s="203"/>
      <c r="D212" s="204"/>
      <c r="E212" s="205"/>
      <c r="F212" s="205"/>
      <c r="G212" s="206">
        <f>+B212+C212+D212+E212+F212</f>
        <v>0</v>
      </c>
      <c r="H212" s="969"/>
      <c r="I212" s="201" t="s">
        <v>435</v>
      </c>
      <c r="J212" s="202"/>
      <c r="K212" s="203"/>
      <c r="L212" s="204"/>
      <c r="M212" s="205"/>
      <c r="N212" s="205"/>
      <c r="O212" s="206">
        <f>+J212+K212+L212+M212+N212</f>
        <v>0</v>
      </c>
      <c r="P212" s="182"/>
      <c r="Q212" s="141"/>
      <c r="R212" s="141"/>
      <c r="S212" s="141"/>
    </row>
    <row r="213" spans="1:19">
      <c r="A213" s="201" t="s">
        <v>436</v>
      </c>
      <c r="B213" s="202"/>
      <c r="C213" s="203"/>
      <c r="D213" s="204"/>
      <c r="E213" s="205"/>
      <c r="F213" s="205"/>
      <c r="G213" s="206">
        <f>+B213+C213+D213+E213+F213</f>
        <v>0</v>
      </c>
      <c r="H213" s="969"/>
      <c r="I213" s="201" t="s">
        <v>436</v>
      </c>
      <c r="J213" s="202"/>
      <c r="K213" s="203"/>
      <c r="L213" s="204"/>
      <c r="M213" s="205"/>
      <c r="N213" s="205"/>
      <c r="O213" s="206">
        <f>+J213+K213+L213+M213+N213</f>
        <v>0</v>
      </c>
      <c r="P213" s="182"/>
      <c r="Q213" s="141"/>
    </row>
    <row r="214" spans="1:19">
      <c r="A214" s="201" t="s">
        <v>437</v>
      </c>
      <c r="B214" s="202"/>
      <c r="C214" s="203"/>
      <c r="D214" s="204"/>
      <c r="E214" s="205"/>
      <c r="F214" s="205"/>
      <c r="G214" s="206">
        <f>+B214+C214+D214+E214+F214</f>
        <v>0</v>
      </c>
      <c r="H214" s="969"/>
      <c r="I214" s="201" t="s">
        <v>437</v>
      </c>
      <c r="J214" s="202"/>
      <c r="K214" s="203"/>
      <c r="L214" s="204"/>
      <c r="M214" s="205"/>
      <c r="N214" s="205"/>
      <c r="O214" s="206">
        <f>+J214+K214+L214+M214+N214</f>
        <v>0</v>
      </c>
      <c r="P214" s="182"/>
      <c r="Q214" s="141"/>
    </row>
    <row r="215" spans="1:19" ht="12.75" thickBot="1">
      <c r="A215" s="201" t="s">
        <v>438</v>
      </c>
      <c r="B215" s="202"/>
      <c r="C215" s="203"/>
      <c r="D215" s="204"/>
      <c r="E215" s="205"/>
      <c r="F215" s="205"/>
      <c r="G215" s="206">
        <f>+B215+C215+D215+E215+F215</f>
        <v>0</v>
      </c>
      <c r="H215" s="969"/>
      <c r="I215" s="201" t="s">
        <v>438</v>
      </c>
      <c r="J215" s="202"/>
      <c r="K215" s="203"/>
      <c r="L215" s="204"/>
      <c r="M215" s="205"/>
      <c r="N215" s="205"/>
      <c r="O215" s="206">
        <f>+J215+K215+L215+M215+N215</f>
        <v>0</v>
      </c>
      <c r="P215" s="182"/>
      <c r="Q215" s="141"/>
    </row>
    <row r="216" spans="1:19" ht="12.75" thickBot="1">
      <c r="A216" s="181" t="s">
        <v>439</v>
      </c>
      <c r="B216" s="207">
        <f t="shared" ref="B216:G216" si="67">+B210+B212+B213+B214+B215</f>
        <v>0</v>
      </c>
      <c r="C216" s="208">
        <f t="shared" si="67"/>
        <v>482</v>
      </c>
      <c r="D216" s="209">
        <f t="shared" si="67"/>
        <v>0</v>
      </c>
      <c r="E216" s="207">
        <f t="shared" si="67"/>
        <v>0</v>
      </c>
      <c r="F216" s="207">
        <f t="shared" si="67"/>
        <v>0</v>
      </c>
      <c r="G216" s="208">
        <f t="shared" si="67"/>
        <v>482</v>
      </c>
      <c r="H216" s="969"/>
      <c r="I216" s="181" t="s">
        <v>439</v>
      </c>
      <c r="J216" s="207">
        <f t="shared" ref="J216:O216" si="68">+J210+J212+J213+J214+J215</f>
        <v>0</v>
      </c>
      <c r="K216" s="208">
        <f t="shared" si="68"/>
        <v>68674</v>
      </c>
      <c r="L216" s="209">
        <f t="shared" si="68"/>
        <v>0</v>
      </c>
      <c r="M216" s="207">
        <f t="shared" si="68"/>
        <v>0</v>
      </c>
      <c r="N216" s="207">
        <f t="shared" si="68"/>
        <v>0</v>
      </c>
      <c r="O216" s="208">
        <f t="shared" si="68"/>
        <v>68674</v>
      </c>
      <c r="P216" s="182"/>
    </row>
    <row r="217" spans="1:19" ht="12.75" thickBot="1">
      <c r="A217" s="210"/>
      <c r="B217" s="210"/>
      <c r="C217" s="210"/>
      <c r="D217" s="210"/>
      <c r="E217" s="210"/>
      <c r="F217" s="210"/>
      <c r="G217" s="210"/>
      <c r="H217" s="969"/>
      <c r="I217" s="210"/>
      <c r="J217" s="210"/>
      <c r="K217" s="210"/>
      <c r="L217" s="210"/>
      <c r="M217" s="210"/>
      <c r="N217" s="210"/>
      <c r="O217" s="210"/>
      <c r="P217" s="210"/>
    </row>
    <row r="218" spans="1:19" s="968" customFormat="1" ht="24.75" thickBot="1">
      <c r="A218" s="414" t="s">
        <v>432</v>
      </c>
      <c r="B218" s="415" t="s">
        <v>1325</v>
      </c>
      <c r="C218" s="188" t="s">
        <v>1317</v>
      </c>
      <c r="D218" s="395" t="s">
        <v>461</v>
      </c>
      <c r="E218" s="396" t="s">
        <v>462</v>
      </c>
      <c r="F218" s="396" t="s">
        <v>1324</v>
      </c>
      <c r="G218" s="1005" t="s">
        <v>18</v>
      </c>
      <c r="H218" s="971"/>
      <c r="I218" s="414" t="s">
        <v>432</v>
      </c>
      <c r="J218" s="415" t="s">
        <v>1325</v>
      </c>
      <c r="K218" s="188" t="s">
        <v>1317</v>
      </c>
      <c r="L218" s="395" t="s">
        <v>461</v>
      </c>
      <c r="M218" s="396" t="s">
        <v>462</v>
      </c>
      <c r="N218" s="396" t="s">
        <v>1324</v>
      </c>
      <c r="O218" s="1005" t="s">
        <v>18</v>
      </c>
      <c r="P218" s="952"/>
    </row>
    <row r="219" spans="1:19">
      <c r="A219" s="189" t="s">
        <v>446</v>
      </c>
      <c r="B219" s="190"/>
      <c r="C219" s="191"/>
      <c r="D219" s="192"/>
      <c r="E219" s="193"/>
      <c r="F219" s="193"/>
      <c r="G219" s="194">
        <f t="shared" ref="G219:G226" si="69">+B219+C219+D219+E219+F219</f>
        <v>0</v>
      </c>
      <c r="H219" s="969"/>
      <c r="I219" s="189" t="s">
        <v>446</v>
      </c>
      <c r="J219" s="190"/>
      <c r="K219" s="191"/>
      <c r="L219" s="192"/>
      <c r="M219" s="193"/>
      <c r="N219" s="193"/>
      <c r="O219" s="194">
        <f t="shared" ref="O219:O226" si="70">+J219+K219+L219+M219+N219</f>
        <v>0</v>
      </c>
      <c r="P219" s="182"/>
      <c r="Q219" s="141"/>
      <c r="R219" s="141"/>
      <c r="S219" s="141"/>
    </row>
    <row r="220" spans="1:19">
      <c r="A220" s="211" t="s">
        <v>447</v>
      </c>
      <c r="B220" s="202"/>
      <c r="C220" s="203"/>
      <c r="D220" s="204"/>
      <c r="E220" s="205"/>
      <c r="F220" s="205"/>
      <c r="G220" s="206">
        <f t="shared" si="69"/>
        <v>0</v>
      </c>
      <c r="H220" s="969"/>
      <c r="I220" s="211" t="s">
        <v>447</v>
      </c>
      <c r="J220" s="202"/>
      <c r="K220" s="203"/>
      <c r="L220" s="204"/>
      <c r="M220" s="205"/>
      <c r="N220" s="205"/>
      <c r="O220" s="206">
        <f t="shared" si="70"/>
        <v>0</v>
      </c>
      <c r="P220" s="182"/>
      <c r="Q220" s="141"/>
      <c r="R220" s="141"/>
      <c r="S220" s="141"/>
    </row>
    <row r="221" spans="1:19">
      <c r="A221" s="201" t="s">
        <v>448</v>
      </c>
      <c r="B221" s="202"/>
      <c r="C221" s="203"/>
      <c r="D221" s="204"/>
      <c r="E221" s="205"/>
      <c r="F221" s="205"/>
      <c r="G221" s="206">
        <f t="shared" si="69"/>
        <v>0</v>
      </c>
      <c r="H221" s="969"/>
      <c r="I221" s="201" t="s">
        <v>448</v>
      </c>
      <c r="J221" s="202"/>
      <c r="K221" s="203"/>
      <c r="L221" s="204"/>
      <c r="M221" s="205"/>
      <c r="N221" s="205"/>
      <c r="O221" s="206">
        <f t="shared" si="70"/>
        <v>0</v>
      </c>
      <c r="P221" s="182"/>
      <c r="Q221" s="141"/>
      <c r="R221" s="141"/>
      <c r="S221" s="141"/>
    </row>
    <row r="222" spans="1:19">
      <c r="A222" s="201" t="s">
        <v>449</v>
      </c>
      <c r="B222" s="202"/>
      <c r="C222" s="203"/>
      <c r="D222" s="204"/>
      <c r="E222" s="205"/>
      <c r="F222" s="205"/>
      <c r="G222" s="206">
        <f t="shared" si="69"/>
        <v>0</v>
      </c>
      <c r="H222" s="969"/>
      <c r="I222" s="201" t="s">
        <v>449</v>
      </c>
      <c r="J222" s="202"/>
      <c r="K222" s="203"/>
      <c r="L222" s="204"/>
      <c r="M222" s="205"/>
      <c r="N222" s="205"/>
      <c r="O222" s="206">
        <f t="shared" si="70"/>
        <v>0</v>
      </c>
      <c r="P222" s="182"/>
      <c r="Q222" s="141"/>
      <c r="S222" s="141"/>
    </row>
    <row r="223" spans="1:19">
      <c r="A223" s="212" t="s">
        <v>450</v>
      </c>
      <c r="B223" s="213"/>
      <c r="C223" s="203">
        <v>482</v>
      </c>
      <c r="D223" s="204"/>
      <c r="E223" s="205"/>
      <c r="F223" s="205"/>
      <c r="G223" s="206">
        <f t="shared" si="69"/>
        <v>482</v>
      </c>
      <c r="H223" s="969"/>
      <c r="I223" s="212" t="s">
        <v>450</v>
      </c>
      <c r="J223" s="213"/>
      <c r="K223" s="203">
        <v>68674</v>
      </c>
      <c r="L223" s="204"/>
      <c r="M223" s="205"/>
      <c r="N223" s="205"/>
      <c r="O223" s="206">
        <f t="shared" si="70"/>
        <v>68674</v>
      </c>
      <c r="P223" s="182"/>
      <c r="Q223" s="141"/>
      <c r="R223" s="141"/>
      <c r="S223" s="141"/>
    </row>
    <row r="224" spans="1:19">
      <c r="A224" s="212" t="s">
        <v>451</v>
      </c>
      <c r="B224" s="213"/>
      <c r="C224" s="203"/>
      <c r="D224" s="204"/>
      <c r="E224" s="205"/>
      <c r="F224" s="205"/>
      <c r="G224" s="206">
        <f t="shared" si="69"/>
        <v>0</v>
      </c>
      <c r="H224" s="969"/>
      <c r="I224" s="212" t="s">
        <v>451</v>
      </c>
      <c r="J224" s="213"/>
      <c r="K224" s="203"/>
      <c r="L224" s="204"/>
      <c r="M224" s="205"/>
      <c r="N224" s="205"/>
      <c r="O224" s="206">
        <f t="shared" si="70"/>
        <v>0</v>
      </c>
      <c r="P224" s="182"/>
      <c r="Q224" s="141"/>
      <c r="R224" s="141"/>
      <c r="S224" s="141"/>
    </row>
    <row r="225" spans="1:19">
      <c r="A225" s="214" t="s">
        <v>452</v>
      </c>
      <c r="B225" s="215"/>
      <c r="C225" s="216"/>
      <c r="D225" s="217"/>
      <c r="E225" s="218"/>
      <c r="F225" s="218"/>
      <c r="G225" s="206">
        <f t="shared" si="69"/>
        <v>0</v>
      </c>
      <c r="H225" s="969"/>
      <c r="I225" s="214" t="s">
        <v>452</v>
      </c>
      <c r="J225" s="215"/>
      <c r="K225" s="216"/>
      <c r="L225" s="204"/>
      <c r="M225" s="218"/>
      <c r="N225" s="218"/>
      <c r="O225" s="206">
        <f t="shared" si="70"/>
        <v>0</v>
      </c>
      <c r="P225" s="182"/>
      <c r="Q225" s="141"/>
      <c r="R225" s="141"/>
      <c r="S225" s="141"/>
    </row>
    <row r="226" spans="1:19" ht="12.75" thickBot="1">
      <c r="A226" s="214" t="s">
        <v>453</v>
      </c>
      <c r="B226" s="215"/>
      <c r="C226" s="216"/>
      <c r="D226" s="217"/>
      <c r="E226" s="218"/>
      <c r="F226" s="218"/>
      <c r="G226" s="206">
        <f t="shared" si="69"/>
        <v>0</v>
      </c>
      <c r="H226" s="969"/>
      <c r="I226" s="214" t="s">
        <v>453</v>
      </c>
      <c r="J226" s="215"/>
      <c r="K226" s="216"/>
      <c r="L226" s="217"/>
      <c r="M226" s="218"/>
      <c r="N226" s="218"/>
      <c r="O226" s="206">
        <f t="shared" si="70"/>
        <v>0</v>
      </c>
      <c r="P226" s="182"/>
      <c r="Q226" s="141"/>
      <c r="R226" s="141"/>
      <c r="S226" s="141"/>
    </row>
    <row r="227" spans="1:19" ht="12.75" thickBot="1">
      <c r="A227" s="181" t="s">
        <v>454</v>
      </c>
      <c r="B227" s="207">
        <f t="shared" ref="B227:G227" si="71">+B219+B220+B221+B222+B223+B224+B225+B226</f>
        <v>0</v>
      </c>
      <c r="C227" s="208">
        <f t="shared" si="71"/>
        <v>482</v>
      </c>
      <c r="D227" s="209">
        <f t="shared" si="71"/>
        <v>0</v>
      </c>
      <c r="E227" s="207">
        <f t="shared" si="71"/>
        <v>0</v>
      </c>
      <c r="F227" s="207">
        <f t="shared" si="71"/>
        <v>0</v>
      </c>
      <c r="G227" s="208">
        <f t="shared" si="71"/>
        <v>482</v>
      </c>
      <c r="I227" s="181" t="s">
        <v>454</v>
      </c>
      <c r="J227" s="207">
        <f t="shared" ref="J227:O227" si="72">+J219+J220+J221+J222+J223+J224+J225+J226</f>
        <v>0</v>
      </c>
      <c r="K227" s="208">
        <f t="shared" si="72"/>
        <v>68674</v>
      </c>
      <c r="L227" s="209">
        <f t="shared" si="72"/>
        <v>0</v>
      </c>
      <c r="M227" s="207">
        <f t="shared" si="72"/>
        <v>0</v>
      </c>
      <c r="N227" s="207">
        <f t="shared" si="72"/>
        <v>0</v>
      </c>
      <c r="O227" s="208">
        <f t="shared" si="72"/>
        <v>68674</v>
      </c>
      <c r="P227" s="182"/>
      <c r="R227" s="969"/>
    </row>
    <row r="228" spans="1:19">
      <c r="A228" s="182"/>
      <c r="B228" s="182"/>
      <c r="C228" s="182"/>
      <c r="D228" s="182"/>
      <c r="E228" s="182"/>
      <c r="F228" s="182"/>
      <c r="G228" s="182"/>
      <c r="H228" s="969"/>
      <c r="I228" s="182"/>
      <c r="J228" s="182"/>
      <c r="K228" s="182"/>
      <c r="L228" s="182"/>
      <c r="M228" s="182"/>
      <c r="N228" s="182"/>
      <c r="O228" s="182"/>
      <c r="P228" s="182"/>
    </row>
    <row r="230" spans="1:19" s="962" customFormat="1" ht="15.75">
      <c r="A230" s="180" t="s">
        <v>1563</v>
      </c>
      <c r="B230" s="1002" t="s">
        <v>1579</v>
      </c>
      <c r="C230" s="1002"/>
      <c r="D230" s="1002"/>
      <c r="E230" s="1002"/>
      <c r="F230" s="1002"/>
      <c r="G230" s="1002"/>
      <c r="H230" s="854"/>
      <c r="I230" s="180" t="s">
        <v>1564</v>
      </c>
      <c r="J230" s="1002" t="s">
        <v>1550</v>
      </c>
      <c r="K230" s="1002"/>
      <c r="L230" s="1002"/>
      <c r="M230" s="1002"/>
      <c r="N230" s="1002"/>
      <c r="O230" s="1002"/>
      <c r="P230" s="1002"/>
    </row>
    <row r="231" spans="1:19" s="962" customFormat="1" ht="15.75" customHeight="1">
      <c r="A231" s="1405" t="s">
        <v>1580</v>
      </c>
      <c r="B231" s="1405"/>
      <c r="C231" s="1405"/>
      <c r="D231" s="1405"/>
      <c r="E231" s="1405"/>
      <c r="F231" s="1405"/>
      <c r="G231" s="1405"/>
      <c r="H231" s="854"/>
      <c r="I231" s="1405" t="s">
        <v>1597</v>
      </c>
      <c r="J231" s="1405"/>
      <c r="K231" s="1405"/>
      <c r="L231" s="1405"/>
      <c r="M231" s="1405"/>
      <c r="N231" s="1405"/>
      <c r="O231" s="1405"/>
      <c r="P231" s="1003"/>
    </row>
    <row r="232" spans="1:19" s="962" customFormat="1" ht="15.75">
      <c r="A232" s="1466" t="s">
        <v>1126</v>
      </c>
      <c r="B232" s="1466"/>
      <c r="C232" s="1466"/>
      <c r="D232" s="1466"/>
      <c r="E232" s="1466"/>
      <c r="F232" s="1466"/>
      <c r="G232" s="1466"/>
      <c r="H232" s="854"/>
      <c r="I232" s="1466" t="s">
        <v>1126</v>
      </c>
      <c r="J232" s="1466"/>
      <c r="K232" s="1466"/>
      <c r="L232" s="1466"/>
      <c r="M232" s="1466"/>
      <c r="N232" s="1466"/>
      <c r="O232" s="1466"/>
      <c r="P232" s="1004"/>
    </row>
    <row r="233" spans="1:19" s="965" customFormat="1" ht="12.75" thickBot="1">
      <c r="A233" s="964"/>
      <c r="B233" s="964"/>
      <c r="D233" s="964"/>
      <c r="E233" s="964"/>
      <c r="G233" s="230" t="s">
        <v>281</v>
      </c>
      <c r="H233" s="966"/>
      <c r="I233" s="964"/>
      <c r="J233" s="964"/>
      <c r="K233" s="964"/>
      <c r="L233" s="964"/>
      <c r="M233" s="964"/>
      <c r="O233" s="230" t="s">
        <v>281</v>
      </c>
      <c r="P233" s="951"/>
    </row>
    <row r="234" spans="1:19" s="968" customFormat="1" ht="24.75" thickBot="1">
      <c r="A234" s="414" t="s">
        <v>432</v>
      </c>
      <c r="B234" s="415" t="s">
        <v>1325</v>
      </c>
      <c r="C234" s="188" t="s">
        <v>1317</v>
      </c>
      <c r="D234" s="395" t="s">
        <v>461</v>
      </c>
      <c r="E234" s="396" t="s">
        <v>462</v>
      </c>
      <c r="F234" s="396" t="s">
        <v>1324</v>
      </c>
      <c r="G234" s="1005" t="s">
        <v>18</v>
      </c>
      <c r="H234" s="971"/>
      <c r="I234" s="414" t="s">
        <v>432</v>
      </c>
      <c r="J234" s="415" t="s">
        <v>1325</v>
      </c>
      <c r="K234" s="188" t="s">
        <v>1317</v>
      </c>
      <c r="L234" s="395" t="s">
        <v>461</v>
      </c>
      <c r="M234" s="396" t="s">
        <v>462</v>
      </c>
      <c r="N234" s="396" t="s">
        <v>1324</v>
      </c>
      <c r="O234" s="1005" t="s">
        <v>18</v>
      </c>
      <c r="P234" s="952"/>
    </row>
    <row r="235" spans="1:19">
      <c r="A235" s="189" t="s">
        <v>433</v>
      </c>
      <c r="B235" s="190">
        <f t="shared" ref="B235:G235" si="73">+B252-B240-B239-B238-B237</f>
        <v>0</v>
      </c>
      <c r="C235" s="191">
        <f t="shared" si="73"/>
        <v>31954</v>
      </c>
      <c r="D235" s="192">
        <f t="shared" si="73"/>
        <v>0</v>
      </c>
      <c r="E235" s="193">
        <f t="shared" si="73"/>
        <v>0</v>
      </c>
      <c r="F235" s="193">
        <f t="shared" si="73"/>
        <v>0</v>
      </c>
      <c r="G235" s="194">
        <f t="shared" si="73"/>
        <v>31954</v>
      </c>
      <c r="H235" s="969"/>
      <c r="I235" s="189" t="s">
        <v>433</v>
      </c>
      <c r="J235" s="190">
        <f t="shared" ref="J235:O235" si="74">+J252-J240-J239-J238-J237</f>
        <v>0</v>
      </c>
      <c r="K235" s="191">
        <f t="shared" si="74"/>
        <v>48785</v>
      </c>
      <c r="L235" s="192">
        <f t="shared" si="74"/>
        <v>0</v>
      </c>
      <c r="M235" s="193">
        <f t="shared" si="74"/>
        <v>0</v>
      </c>
      <c r="N235" s="193">
        <f t="shared" si="74"/>
        <v>0</v>
      </c>
      <c r="O235" s="194">
        <f t="shared" si="74"/>
        <v>48785</v>
      </c>
      <c r="P235" s="182"/>
    </row>
    <row r="236" spans="1:19">
      <c r="A236" s="195" t="s">
        <v>434</v>
      </c>
      <c r="B236" s="196"/>
      <c r="C236" s="197"/>
      <c r="D236" s="198"/>
      <c r="E236" s="199"/>
      <c r="F236" s="199"/>
      <c r="G236" s="200">
        <f>+B236+C236+D236+E236+F236</f>
        <v>0</v>
      </c>
      <c r="H236" s="969"/>
      <c r="I236" s="195" t="s">
        <v>434</v>
      </c>
      <c r="J236" s="196"/>
      <c r="K236" s="197"/>
      <c r="L236" s="198"/>
      <c r="M236" s="199"/>
      <c r="N236" s="199"/>
      <c r="O236" s="200">
        <f>+J236+K236+L236+M236+N236</f>
        <v>0</v>
      </c>
      <c r="P236" s="953"/>
      <c r="Q236" s="141"/>
    </row>
    <row r="237" spans="1:19">
      <c r="A237" s="201" t="s">
        <v>435</v>
      </c>
      <c r="B237" s="202"/>
      <c r="C237" s="203"/>
      <c r="D237" s="204"/>
      <c r="E237" s="205"/>
      <c r="F237" s="205"/>
      <c r="G237" s="206">
        <f>+B237+C237+D237+E237+F237</f>
        <v>0</v>
      </c>
      <c r="H237" s="969"/>
      <c r="I237" s="201" t="s">
        <v>435</v>
      </c>
      <c r="J237" s="202"/>
      <c r="K237" s="203"/>
      <c r="L237" s="204"/>
      <c r="M237" s="205"/>
      <c r="N237" s="205"/>
      <c r="O237" s="206">
        <f>+J237+K237+L237+M237+N237</f>
        <v>0</v>
      </c>
      <c r="P237" s="182"/>
      <c r="Q237" s="141"/>
      <c r="R237" s="141"/>
      <c r="S237" s="141"/>
    </row>
    <row r="238" spans="1:19">
      <c r="A238" s="201" t="s">
        <v>436</v>
      </c>
      <c r="B238" s="202"/>
      <c r="C238" s="203"/>
      <c r="D238" s="204"/>
      <c r="E238" s="205"/>
      <c r="F238" s="205"/>
      <c r="G238" s="206">
        <f>+B238+C238+D238+E238+F238</f>
        <v>0</v>
      </c>
      <c r="H238" s="969"/>
      <c r="I238" s="201" t="s">
        <v>436</v>
      </c>
      <c r="J238" s="202"/>
      <c r="K238" s="203"/>
      <c r="L238" s="204"/>
      <c r="M238" s="205"/>
      <c r="N238" s="205"/>
      <c r="O238" s="206">
        <f>+J238+K238+L238+M238+N238</f>
        <v>0</v>
      </c>
      <c r="P238" s="182"/>
      <c r="Q238" s="141"/>
    </row>
    <row r="239" spans="1:19">
      <c r="A239" s="201" t="s">
        <v>437</v>
      </c>
      <c r="B239" s="202"/>
      <c r="C239" s="203"/>
      <c r="D239" s="204"/>
      <c r="E239" s="205"/>
      <c r="F239" s="205"/>
      <c r="G239" s="206">
        <f>+B239+C239+D239+E239+F239</f>
        <v>0</v>
      </c>
      <c r="H239" s="969"/>
      <c r="I239" s="201" t="s">
        <v>437</v>
      </c>
      <c r="J239" s="202"/>
      <c r="K239" s="203"/>
      <c r="L239" s="204"/>
      <c r="M239" s="205"/>
      <c r="N239" s="205"/>
      <c r="O239" s="206">
        <f>+J239+K239+L239+M239+N239</f>
        <v>0</v>
      </c>
      <c r="P239" s="182"/>
      <c r="Q239" s="141"/>
    </row>
    <row r="240" spans="1:19" ht="12.75" thickBot="1">
      <c r="A240" s="201" t="s">
        <v>438</v>
      </c>
      <c r="B240" s="202"/>
      <c r="C240" s="203"/>
      <c r="D240" s="204"/>
      <c r="E240" s="205"/>
      <c r="F240" s="205"/>
      <c r="G240" s="206">
        <f>+B240+C240+D240+E240+F240</f>
        <v>0</v>
      </c>
      <c r="H240" s="969"/>
      <c r="I240" s="201" t="s">
        <v>438</v>
      </c>
      <c r="J240" s="202"/>
      <c r="K240" s="203"/>
      <c r="L240" s="204"/>
      <c r="M240" s="205"/>
      <c r="N240" s="205"/>
      <c r="O240" s="206">
        <f>+J240+K240+L240+M240+N240</f>
        <v>0</v>
      </c>
      <c r="P240" s="182"/>
      <c r="Q240" s="141"/>
    </row>
    <row r="241" spans="1:19" ht="12.75" thickBot="1">
      <c r="A241" s="181" t="s">
        <v>439</v>
      </c>
      <c r="B241" s="207">
        <f t="shared" ref="B241:G241" si="75">+B235+B237+B238+B239+B240</f>
        <v>0</v>
      </c>
      <c r="C241" s="208">
        <f t="shared" si="75"/>
        <v>31954</v>
      </c>
      <c r="D241" s="209">
        <f t="shared" si="75"/>
        <v>0</v>
      </c>
      <c r="E241" s="207">
        <f t="shared" si="75"/>
        <v>0</v>
      </c>
      <c r="F241" s="207">
        <f t="shared" si="75"/>
        <v>0</v>
      </c>
      <c r="G241" s="208">
        <f t="shared" si="75"/>
        <v>31954</v>
      </c>
      <c r="H241" s="969"/>
      <c r="I241" s="181" t="s">
        <v>439</v>
      </c>
      <c r="J241" s="207">
        <f t="shared" ref="J241:O241" si="76">+J235+J237+J238+J239+J240</f>
        <v>0</v>
      </c>
      <c r="K241" s="208">
        <f t="shared" si="76"/>
        <v>48785</v>
      </c>
      <c r="L241" s="209">
        <f t="shared" si="76"/>
        <v>0</v>
      </c>
      <c r="M241" s="207">
        <f t="shared" si="76"/>
        <v>0</v>
      </c>
      <c r="N241" s="207">
        <f t="shared" si="76"/>
        <v>0</v>
      </c>
      <c r="O241" s="208">
        <f t="shared" si="76"/>
        <v>48785</v>
      </c>
      <c r="P241" s="182"/>
    </row>
    <row r="242" spans="1:19" ht="12.75" thickBot="1">
      <c r="A242" s="210"/>
      <c r="B242" s="210"/>
      <c r="C242" s="210"/>
      <c r="D242" s="210"/>
      <c r="E242" s="210"/>
      <c r="F242" s="210"/>
      <c r="G242" s="210"/>
      <c r="H242" s="969"/>
      <c r="I242" s="210"/>
      <c r="J242" s="210"/>
      <c r="K242" s="210"/>
      <c r="L242" s="210"/>
      <c r="M242" s="210"/>
      <c r="N242" s="210"/>
      <c r="O242" s="210"/>
      <c r="P242" s="210"/>
    </row>
    <row r="243" spans="1:19" s="968" customFormat="1" ht="24.75" thickBot="1">
      <c r="A243" s="414" t="s">
        <v>432</v>
      </c>
      <c r="B243" s="415" t="s">
        <v>1325</v>
      </c>
      <c r="C243" s="188" t="s">
        <v>1317</v>
      </c>
      <c r="D243" s="395" t="s">
        <v>461</v>
      </c>
      <c r="E243" s="396" t="s">
        <v>462</v>
      </c>
      <c r="F243" s="396" t="s">
        <v>1324</v>
      </c>
      <c r="G243" s="1005" t="s">
        <v>18</v>
      </c>
      <c r="H243" s="971"/>
      <c r="I243" s="414" t="s">
        <v>432</v>
      </c>
      <c r="J243" s="415" t="s">
        <v>1325</v>
      </c>
      <c r="K243" s="188" t="s">
        <v>1317</v>
      </c>
      <c r="L243" s="395" t="s">
        <v>461</v>
      </c>
      <c r="M243" s="396" t="s">
        <v>462</v>
      </c>
      <c r="N243" s="396" t="s">
        <v>1324</v>
      </c>
      <c r="O243" s="1005" t="s">
        <v>18</v>
      </c>
      <c r="P243" s="952"/>
    </row>
    <row r="244" spans="1:19">
      <c r="A244" s="189" t="s">
        <v>446</v>
      </c>
      <c r="B244" s="190"/>
      <c r="C244" s="191"/>
      <c r="D244" s="192"/>
      <c r="E244" s="193"/>
      <c r="F244" s="193"/>
      <c r="G244" s="194">
        <f t="shared" ref="G244:G251" si="77">+B244+C244+D244+E244+F244</f>
        <v>0</v>
      </c>
      <c r="H244" s="969"/>
      <c r="I244" s="189" t="s">
        <v>446</v>
      </c>
      <c r="J244" s="190"/>
      <c r="K244" s="191"/>
      <c r="L244" s="192"/>
      <c r="M244" s="193"/>
      <c r="N244" s="193"/>
      <c r="O244" s="194">
        <f t="shared" ref="O244:O251" si="78">+J244+K244+L244+M244+N244</f>
        <v>0</v>
      </c>
      <c r="P244" s="182"/>
      <c r="Q244" s="141"/>
      <c r="R244" s="141"/>
      <c r="S244" s="141"/>
    </row>
    <row r="245" spans="1:19">
      <c r="A245" s="211" t="s">
        <v>447</v>
      </c>
      <c r="B245" s="202"/>
      <c r="C245" s="203"/>
      <c r="D245" s="204"/>
      <c r="E245" s="205"/>
      <c r="F245" s="205"/>
      <c r="G245" s="206">
        <f t="shared" si="77"/>
        <v>0</v>
      </c>
      <c r="H245" s="969"/>
      <c r="I245" s="211" t="s">
        <v>447</v>
      </c>
      <c r="J245" s="202"/>
      <c r="K245" s="203"/>
      <c r="L245" s="204"/>
      <c r="M245" s="205"/>
      <c r="N245" s="205"/>
      <c r="O245" s="206">
        <f t="shared" si="78"/>
        <v>0</v>
      </c>
      <c r="P245" s="182"/>
      <c r="Q245" s="141"/>
      <c r="R245" s="141"/>
      <c r="S245" s="141"/>
    </row>
    <row r="246" spans="1:19">
      <c r="A246" s="201" t="s">
        <v>448</v>
      </c>
      <c r="B246" s="202"/>
      <c r="C246" s="203"/>
      <c r="D246" s="204"/>
      <c r="E246" s="205"/>
      <c r="F246" s="205"/>
      <c r="G246" s="206">
        <f t="shared" si="77"/>
        <v>0</v>
      </c>
      <c r="H246" s="969"/>
      <c r="I246" s="201" t="s">
        <v>448</v>
      </c>
      <c r="J246" s="202"/>
      <c r="K246" s="203"/>
      <c r="L246" s="204"/>
      <c r="M246" s="205"/>
      <c r="N246" s="205"/>
      <c r="O246" s="206">
        <f t="shared" si="78"/>
        <v>0</v>
      </c>
      <c r="P246" s="182"/>
      <c r="Q246" s="141"/>
      <c r="R246" s="141"/>
      <c r="S246" s="141"/>
    </row>
    <row r="247" spans="1:19">
      <c r="A247" s="201" t="s">
        <v>449</v>
      </c>
      <c r="B247" s="202"/>
      <c r="C247" s="203"/>
      <c r="D247" s="204"/>
      <c r="E247" s="205"/>
      <c r="F247" s="205"/>
      <c r="G247" s="206">
        <f t="shared" si="77"/>
        <v>0</v>
      </c>
      <c r="H247" s="969"/>
      <c r="I247" s="201" t="s">
        <v>449</v>
      </c>
      <c r="J247" s="202"/>
      <c r="K247" s="203"/>
      <c r="L247" s="204"/>
      <c r="M247" s="205"/>
      <c r="N247" s="205"/>
      <c r="O247" s="206">
        <f t="shared" si="78"/>
        <v>0</v>
      </c>
      <c r="P247" s="182"/>
      <c r="Q247" s="141"/>
      <c r="S247" s="141"/>
    </row>
    <row r="248" spans="1:19">
      <c r="A248" s="212" t="s">
        <v>450</v>
      </c>
      <c r="B248" s="213"/>
      <c r="C248" s="203">
        <f>31943+11</f>
        <v>31954</v>
      </c>
      <c r="D248" s="204"/>
      <c r="E248" s="205"/>
      <c r="F248" s="205"/>
      <c r="G248" s="206">
        <f t="shared" si="77"/>
        <v>31954</v>
      </c>
      <c r="H248" s="969"/>
      <c r="I248" s="212" t="s">
        <v>450</v>
      </c>
      <c r="J248" s="213"/>
      <c r="K248" s="203">
        <v>48785</v>
      </c>
      <c r="L248" s="204"/>
      <c r="M248" s="205"/>
      <c r="N248" s="205"/>
      <c r="O248" s="206">
        <f t="shared" si="78"/>
        <v>48785</v>
      </c>
      <c r="P248" s="182"/>
      <c r="Q248" s="141"/>
      <c r="R248" s="141"/>
      <c r="S248" s="141"/>
    </row>
    <row r="249" spans="1:19">
      <c r="A249" s="212" t="s">
        <v>451</v>
      </c>
      <c r="B249" s="213"/>
      <c r="C249" s="203"/>
      <c r="D249" s="204"/>
      <c r="E249" s="205"/>
      <c r="F249" s="205"/>
      <c r="G249" s="206">
        <f t="shared" si="77"/>
        <v>0</v>
      </c>
      <c r="H249" s="969"/>
      <c r="I249" s="212" t="s">
        <v>451</v>
      </c>
      <c r="J249" s="213"/>
      <c r="K249" s="203"/>
      <c r="L249" s="204"/>
      <c r="M249" s="205"/>
      <c r="N249" s="205"/>
      <c r="O249" s="206">
        <f t="shared" si="78"/>
        <v>0</v>
      </c>
      <c r="P249" s="182"/>
      <c r="Q249" s="141"/>
      <c r="R249" s="141"/>
      <c r="S249" s="141"/>
    </row>
    <row r="250" spans="1:19">
      <c r="A250" s="214" t="s">
        <v>452</v>
      </c>
      <c r="B250" s="215"/>
      <c r="C250" s="216"/>
      <c r="D250" s="217"/>
      <c r="E250" s="218"/>
      <c r="F250" s="218"/>
      <c r="G250" s="206">
        <f t="shared" si="77"/>
        <v>0</v>
      </c>
      <c r="H250" s="969"/>
      <c r="I250" s="214" t="s">
        <v>452</v>
      </c>
      <c r="J250" s="215"/>
      <c r="K250" s="216"/>
      <c r="L250" s="204"/>
      <c r="M250" s="218"/>
      <c r="N250" s="218"/>
      <c r="O250" s="206">
        <f t="shared" si="78"/>
        <v>0</v>
      </c>
      <c r="P250" s="182"/>
      <c r="Q250" s="141"/>
      <c r="R250" s="141"/>
      <c r="S250" s="141"/>
    </row>
    <row r="251" spans="1:19" ht="12.75" thickBot="1">
      <c r="A251" s="214" t="s">
        <v>453</v>
      </c>
      <c r="B251" s="215"/>
      <c r="C251" s="216"/>
      <c r="D251" s="217"/>
      <c r="E251" s="218"/>
      <c r="F251" s="218"/>
      <c r="G251" s="206">
        <f t="shared" si="77"/>
        <v>0</v>
      </c>
      <c r="H251" s="969"/>
      <c r="I251" s="214" t="s">
        <v>453</v>
      </c>
      <c r="J251" s="215"/>
      <c r="K251" s="216"/>
      <c r="L251" s="217"/>
      <c r="M251" s="218"/>
      <c r="N251" s="218"/>
      <c r="O251" s="206">
        <f t="shared" si="78"/>
        <v>0</v>
      </c>
      <c r="P251" s="182"/>
      <c r="Q251" s="141"/>
      <c r="R251" s="141"/>
      <c r="S251" s="141"/>
    </row>
    <row r="252" spans="1:19" ht="12.75" thickBot="1">
      <c r="A252" s="181" t="s">
        <v>454</v>
      </c>
      <c r="B252" s="207">
        <f t="shared" ref="B252:G252" si="79">+B244+B245+B246+B247+B248+B249+B250+B251</f>
        <v>0</v>
      </c>
      <c r="C252" s="208">
        <f t="shared" si="79"/>
        <v>31954</v>
      </c>
      <c r="D252" s="209">
        <f t="shared" si="79"/>
        <v>0</v>
      </c>
      <c r="E252" s="207">
        <f t="shared" si="79"/>
        <v>0</v>
      </c>
      <c r="F252" s="207">
        <f t="shared" si="79"/>
        <v>0</v>
      </c>
      <c r="G252" s="208">
        <f t="shared" si="79"/>
        <v>31954</v>
      </c>
      <c r="I252" s="181" t="s">
        <v>454</v>
      </c>
      <c r="J252" s="207">
        <f t="shared" ref="J252:O252" si="80">+J244+J245+J246+J247+J248+J249+J250+J251</f>
        <v>0</v>
      </c>
      <c r="K252" s="208">
        <f t="shared" si="80"/>
        <v>48785</v>
      </c>
      <c r="L252" s="209">
        <f t="shared" si="80"/>
        <v>0</v>
      </c>
      <c r="M252" s="207">
        <f t="shared" si="80"/>
        <v>0</v>
      </c>
      <c r="N252" s="207">
        <f t="shared" si="80"/>
        <v>0</v>
      </c>
      <c r="O252" s="208">
        <f t="shared" si="80"/>
        <v>48785</v>
      </c>
      <c r="P252" s="182"/>
      <c r="R252" s="969"/>
    </row>
    <row r="253" spans="1:19">
      <c r="A253" s="182"/>
      <c r="B253" s="182"/>
      <c r="C253" s="182"/>
      <c r="D253" s="182"/>
      <c r="E253" s="182"/>
      <c r="F253" s="182"/>
      <c r="G253" s="182"/>
      <c r="H253" s="969"/>
      <c r="I253" s="182"/>
      <c r="J253" s="182"/>
      <c r="K253" s="182"/>
      <c r="L253" s="182"/>
      <c r="M253" s="182"/>
      <c r="N253" s="182"/>
      <c r="O253" s="182"/>
      <c r="P253" s="182"/>
    </row>
    <row r="255" spans="1:19" s="962" customFormat="1" ht="15.75">
      <c r="A255" s="180" t="s">
        <v>1565</v>
      </c>
      <c r="B255" s="1002" t="s">
        <v>1581</v>
      </c>
      <c r="C255" s="1002"/>
      <c r="D255" s="1002"/>
      <c r="E255" s="1002"/>
      <c r="F255" s="1002"/>
      <c r="G255" s="1002"/>
      <c r="H255" s="854"/>
      <c r="I255" s="180" t="s">
        <v>1566</v>
      </c>
      <c r="J255" s="1002" t="s">
        <v>1583</v>
      </c>
      <c r="K255" s="1002"/>
      <c r="L255" s="1002"/>
      <c r="M255" s="1002"/>
      <c r="N255" s="1002"/>
      <c r="O255" s="1002"/>
      <c r="P255" s="1002"/>
    </row>
    <row r="256" spans="1:19" s="962" customFormat="1" ht="15.75" customHeight="1">
      <c r="A256" s="1405" t="s">
        <v>1582</v>
      </c>
      <c r="B256" s="1405"/>
      <c r="C256" s="1405"/>
      <c r="D256" s="1405"/>
      <c r="E256" s="1405"/>
      <c r="F256" s="1405"/>
      <c r="G256" s="1405"/>
      <c r="H256" s="854"/>
      <c r="I256" s="1405" t="s">
        <v>1584</v>
      </c>
      <c r="J256" s="1405"/>
      <c r="K256" s="1405"/>
      <c r="L256" s="1405"/>
      <c r="M256" s="1405"/>
      <c r="N256" s="1405"/>
      <c r="O256" s="1405"/>
      <c r="P256" s="1003"/>
    </row>
    <row r="257" spans="1:19" s="962" customFormat="1" ht="15.75">
      <c r="A257" s="1466" t="s">
        <v>1126</v>
      </c>
      <c r="B257" s="1466"/>
      <c r="C257" s="1466"/>
      <c r="D257" s="1466"/>
      <c r="E257" s="1466"/>
      <c r="F257" s="1466"/>
      <c r="G257" s="1466"/>
      <c r="H257" s="854"/>
      <c r="I257" s="1466" t="s">
        <v>1126</v>
      </c>
      <c r="J257" s="1466"/>
      <c r="K257" s="1466"/>
      <c r="L257" s="1466"/>
      <c r="M257" s="1466"/>
      <c r="N257" s="1466"/>
      <c r="O257" s="1466"/>
      <c r="P257" s="1004"/>
    </row>
    <row r="258" spans="1:19" s="965" customFormat="1" ht="12.75" thickBot="1">
      <c r="A258" s="964"/>
      <c r="B258" s="964"/>
      <c r="D258" s="964"/>
      <c r="E258" s="964"/>
      <c r="G258" s="230" t="s">
        <v>281</v>
      </c>
      <c r="H258" s="966"/>
      <c r="I258" s="964"/>
      <c r="J258" s="964"/>
      <c r="K258" s="964"/>
      <c r="L258" s="964"/>
      <c r="M258" s="964"/>
      <c r="O258" s="230" t="s">
        <v>281</v>
      </c>
      <c r="P258" s="951"/>
    </row>
    <row r="259" spans="1:19" s="968" customFormat="1" ht="24.75" thickBot="1">
      <c r="A259" s="414" t="s">
        <v>432</v>
      </c>
      <c r="B259" s="415" t="s">
        <v>1325</v>
      </c>
      <c r="C259" s="188" t="s">
        <v>1317</v>
      </c>
      <c r="D259" s="395" t="s">
        <v>461</v>
      </c>
      <c r="E259" s="396" t="s">
        <v>462</v>
      </c>
      <c r="F259" s="396" t="s">
        <v>1324</v>
      </c>
      <c r="G259" s="1005" t="s">
        <v>18</v>
      </c>
      <c r="H259" s="971"/>
      <c r="I259" s="414" t="s">
        <v>432</v>
      </c>
      <c r="J259" s="415" t="s">
        <v>1325</v>
      </c>
      <c r="K259" s="188" t="s">
        <v>1317</v>
      </c>
      <c r="L259" s="395" t="s">
        <v>461</v>
      </c>
      <c r="M259" s="396" t="s">
        <v>462</v>
      </c>
      <c r="N259" s="396" t="s">
        <v>1324</v>
      </c>
      <c r="O259" s="1005" t="s">
        <v>18</v>
      </c>
      <c r="P259" s="952"/>
    </row>
    <row r="260" spans="1:19">
      <c r="A260" s="189" t="s">
        <v>433</v>
      </c>
      <c r="B260" s="190">
        <f t="shared" ref="B260:G260" si="81">+B277-B265-B264-B263-B262</f>
        <v>0</v>
      </c>
      <c r="C260" s="191">
        <f t="shared" si="81"/>
        <v>0</v>
      </c>
      <c r="D260" s="192">
        <f t="shared" si="81"/>
        <v>0</v>
      </c>
      <c r="E260" s="193">
        <f t="shared" si="81"/>
        <v>0</v>
      </c>
      <c r="F260" s="193">
        <f t="shared" si="81"/>
        <v>0</v>
      </c>
      <c r="G260" s="194">
        <f t="shared" si="81"/>
        <v>0</v>
      </c>
      <c r="H260" s="969"/>
      <c r="I260" s="189" t="s">
        <v>433</v>
      </c>
      <c r="J260" s="190">
        <f t="shared" ref="J260:O260" si="82">+J277-J265-J264-J263-J262</f>
        <v>0</v>
      </c>
      <c r="K260" s="191">
        <f t="shared" si="82"/>
        <v>84548</v>
      </c>
      <c r="L260" s="192">
        <f t="shared" si="82"/>
        <v>0</v>
      </c>
      <c r="M260" s="193">
        <f t="shared" si="82"/>
        <v>0</v>
      </c>
      <c r="N260" s="193">
        <f t="shared" si="82"/>
        <v>0</v>
      </c>
      <c r="O260" s="194">
        <f t="shared" si="82"/>
        <v>84548</v>
      </c>
      <c r="P260" s="182"/>
    </row>
    <row r="261" spans="1:19">
      <c r="A261" s="195" t="s">
        <v>434</v>
      </c>
      <c r="B261" s="196"/>
      <c r="C261" s="197"/>
      <c r="D261" s="198"/>
      <c r="E261" s="199"/>
      <c r="F261" s="199"/>
      <c r="G261" s="200">
        <f>+B261+C261+D261+E261+F261</f>
        <v>0</v>
      </c>
      <c r="H261" s="969"/>
      <c r="I261" s="195" t="s">
        <v>434</v>
      </c>
      <c r="J261" s="196"/>
      <c r="K261" s="197"/>
      <c r="L261" s="198"/>
      <c r="M261" s="199"/>
      <c r="N261" s="199"/>
      <c r="O261" s="200">
        <f>+J261+K261+L261+M261+N261</f>
        <v>0</v>
      </c>
      <c r="P261" s="953"/>
      <c r="Q261" s="141"/>
    </row>
    <row r="262" spans="1:19">
      <c r="A262" s="201" t="s">
        <v>435</v>
      </c>
      <c r="B262" s="202"/>
      <c r="C262" s="203"/>
      <c r="D262" s="204"/>
      <c r="E262" s="205"/>
      <c r="F262" s="205"/>
      <c r="G262" s="206">
        <f>+B262+C262+D262+E262+F262</f>
        <v>0</v>
      </c>
      <c r="H262" s="969"/>
      <c r="I262" s="201" t="s">
        <v>435</v>
      </c>
      <c r="J262" s="202"/>
      <c r="K262" s="203"/>
      <c r="L262" s="204"/>
      <c r="M262" s="205"/>
      <c r="N262" s="205"/>
      <c r="O262" s="206">
        <f>+J262+K262+L262+M262+N262</f>
        <v>0</v>
      </c>
      <c r="P262" s="182"/>
      <c r="Q262" s="141"/>
      <c r="R262" s="141"/>
      <c r="S262" s="141"/>
    </row>
    <row r="263" spans="1:19">
      <c r="A263" s="201" t="s">
        <v>436</v>
      </c>
      <c r="B263" s="202"/>
      <c r="C263" s="203"/>
      <c r="D263" s="204"/>
      <c r="E263" s="205"/>
      <c r="F263" s="205"/>
      <c r="G263" s="206">
        <f>+B263+C263+D263+E263+F263</f>
        <v>0</v>
      </c>
      <c r="H263" s="969"/>
      <c r="I263" s="201" t="s">
        <v>436</v>
      </c>
      <c r="J263" s="202"/>
      <c r="K263" s="203"/>
      <c r="L263" s="204"/>
      <c r="M263" s="205"/>
      <c r="N263" s="205"/>
      <c r="O263" s="206">
        <f>+J263+K263+L263+M263+N263</f>
        <v>0</v>
      </c>
      <c r="P263" s="182"/>
      <c r="Q263" s="141"/>
    </row>
    <row r="264" spans="1:19">
      <c r="A264" s="201" t="s">
        <v>437</v>
      </c>
      <c r="B264" s="202"/>
      <c r="C264" s="203"/>
      <c r="D264" s="204"/>
      <c r="E264" s="205"/>
      <c r="F264" s="205"/>
      <c r="G264" s="206">
        <f>+B264+C264+D264+E264+F264</f>
        <v>0</v>
      </c>
      <c r="H264" s="969"/>
      <c r="I264" s="201" t="s">
        <v>437</v>
      </c>
      <c r="J264" s="202"/>
      <c r="K264" s="203"/>
      <c r="L264" s="204"/>
      <c r="M264" s="205"/>
      <c r="N264" s="205"/>
      <c r="O264" s="206">
        <f>+J264+K264+L264+M264+N264</f>
        <v>0</v>
      </c>
      <c r="P264" s="182"/>
      <c r="Q264" s="141"/>
    </row>
    <row r="265" spans="1:19" ht="12.75" thickBot="1">
      <c r="A265" s="201" t="s">
        <v>438</v>
      </c>
      <c r="B265" s="202"/>
      <c r="C265" s="203"/>
      <c r="D265" s="204"/>
      <c r="E265" s="205"/>
      <c r="F265" s="205"/>
      <c r="G265" s="206">
        <f>+B265+C265+D265+E265+F265</f>
        <v>0</v>
      </c>
      <c r="H265" s="969"/>
      <c r="I265" s="201" t="s">
        <v>438</v>
      </c>
      <c r="J265" s="202"/>
      <c r="K265" s="203"/>
      <c r="L265" s="204"/>
      <c r="M265" s="205"/>
      <c r="N265" s="205"/>
      <c r="O265" s="206">
        <f>+J265+K265+L265+M265+N265</f>
        <v>0</v>
      </c>
      <c r="P265" s="182"/>
      <c r="Q265" s="141"/>
    </row>
    <row r="266" spans="1:19" ht="12.75" thickBot="1">
      <c r="A266" s="181" t="s">
        <v>439</v>
      </c>
      <c r="B266" s="207">
        <f t="shared" ref="B266:G266" si="83">+B260+B262+B263+B264+B265</f>
        <v>0</v>
      </c>
      <c r="C266" s="208">
        <f t="shared" si="83"/>
        <v>0</v>
      </c>
      <c r="D266" s="209">
        <f t="shared" si="83"/>
        <v>0</v>
      </c>
      <c r="E266" s="207">
        <f t="shared" si="83"/>
        <v>0</v>
      </c>
      <c r="F266" s="207">
        <f t="shared" si="83"/>
        <v>0</v>
      </c>
      <c r="G266" s="208">
        <f t="shared" si="83"/>
        <v>0</v>
      </c>
      <c r="H266" s="969"/>
      <c r="I266" s="181" t="s">
        <v>439</v>
      </c>
      <c r="J266" s="207">
        <f t="shared" ref="J266:O266" si="84">+J260+J262+J263+J264+J265</f>
        <v>0</v>
      </c>
      <c r="K266" s="208">
        <f t="shared" si="84"/>
        <v>84548</v>
      </c>
      <c r="L266" s="209">
        <f t="shared" si="84"/>
        <v>0</v>
      </c>
      <c r="M266" s="207">
        <f t="shared" si="84"/>
        <v>0</v>
      </c>
      <c r="N266" s="207">
        <f t="shared" si="84"/>
        <v>0</v>
      </c>
      <c r="O266" s="208">
        <f t="shared" si="84"/>
        <v>84548</v>
      </c>
      <c r="P266" s="182"/>
    </row>
    <row r="267" spans="1:19" ht="12.75" thickBot="1">
      <c r="A267" s="210"/>
      <c r="B267" s="210"/>
      <c r="C267" s="210"/>
      <c r="D267" s="210"/>
      <c r="E267" s="210"/>
      <c r="F267" s="210"/>
      <c r="G267" s="210"/>
      <c r="H267" s="969"/>
      <c r="I267" s="210"/>
      <c r="J267" s="210"/>
      <c r="K267" s="210"/>
      <c r="L267" s="210"/>
      <c r="M267" s="210"/>
      <c r="N267" s="210"/>
      <c r="O267" s="210"/>
      <c r="P267" s="210"/>
    </row>
    <row r="268" spans="1:19" s="968" customFormat="1" ht="24.75" thickBot="1">
      <c r="A268" s="414" t="s">
        <v>432</v>
      </c>
      <c r="B268" s="415" t="s">
        <v>1325</v>
      </c>
      <c r="C268" s="188" t="s">
        <v>1317</v>
      </c>
      <c r="D268" s="395" t="s">
        <v>461</v>
      </c>
      <c r="E268" s="396" t="s">
        <v>462</v>
      </c>
      <c r="F268" s="396" t="s">
        <v>1324</v>
      </c>
      <c r="G268" s="1005" t="s">
        <v>18</v>
      </c>
      <c r="H268" s="971"/>
      <c r="I268" s="414" t="s">
        <v>432</v>
      </c>
      <c r="J268" s="415" t="s">
        <v>1325</v>
      </c>
      <c r="K268" s="188" t="s">
        <v>1317</v>
      </c>
      <c r="L268" s="395" t="s">
        <v>461</v>
      </c>
      <c r="M268" s="396" t="s">
        <v>462</v>
      </c>
      <c r="N268" s="396" t="s">
        <v>1324</v>
      </c>
      <c r="O268" s="1005" t="s">
        <v>18</v>
      </c>
      <c r="P268" s="952"/>
    </row>
    <row r="269" spans="1:19">
      <c r="A269" s="189" t="s">
        <v>446</v>
      </c>
      <c r="B269" s="190"/>
      <c r="C269" s="191"/>
      <c r="D269" s="192"/>
      <c r="E269" s="193"/>
      <c r="F269" s="193"/>
      <c r="G269" s="194">
        <f t="shared" ref="G269:G276" si="85">+B269+C269+D269+E269+F269</f>
        <v>0</v>
      </c>
      <c r="H269" s="969"/>
      <c r="I269" s="189" t="s">
        <v>446</v>
      </c>
      <c r="J269" s="190"/>
      <c r="K269" s="191"/>
      <c r="L269" s="192"/>
      <c r="M269" s="193"/>
      <c r="N269" s="193"/>
      <c r="O269" s="194">
        <f t="shared" ref="O269:O276" si="86">+J269+K269+L269+M269+N269</f>
        <v>0</v>
      </c>
      <c r="P269" s="182"/>
      <c r="Q269" s="141"/>
      <c r="R269" s="141"/>
      <c r="S269" s="141"/>
    </row>
    <row r="270" spans="1:19">
      <c r="A270" s="211" t="s">
        <v>447</v>
      </c>
      <c r="B270" s="202"/>
      <c r="C270" s="203"/>
      <c r="D270" s="204"/>
      <c r="E270" s="205"/>
      <c r="F270" s="205"/>
      <c r="G270" s="206">
        <f t="shared" si="85"/>
        <v>0</v>
      </c>
      <c r="H270" s="969"/>
      <c r="I270" s="211" t="s">
        <v>447</v>
      </c>
      <c r="J270" s="202"/>
      <c r="K270" s="203"/>
      <c r="L270" s="204"/>
      <c r="M270" s="205"/>
      <c r="N270" s="205"/>
      <c r="O270" s="206">
        <f t="shared" si="86"/>
        <v>0</v>
      </c>
      <c r="P270" s="182"/>
      <c r="Q270" s="141"/>
      <c r="R270" s="141"/>
      <c r="S270" s="141"/>
    </row>
    <row r="271" spans="1:19">
      <c r="A271" s="201" t="s">
        <v>448</v>
      </c>
      <c r="B271" s="202"/>
      <c r="C271" s="203"/>
      <c r="D271" s="204"/>
      <c r="E271" s="205"/>
      <c r="F271" s="205"/>
      <c r="G271" s="206">
        <f t="shared" si="85"/>
        <v>0</v>
      </c>
      <c r="H271" s="969"/>
      <c r="I271" s="201" t="s">
        <v>448</v>
      </c>
      <c r="J271" s="202"/>
      <c r="K271" s="203"/>
      <c r="L271" s="204"/>
      <c r="M271" s="205"/>
      <c r="N271" s="205"/>
      <c r="O271" s="206">
        <f t="shared" si="86"/>
        <v>0</v>
      </c>
      <c r="P271" s="182"/>
      <c r="Q271" s="141"/>
      <c r="R271" s="141"/>
      <c r="S271" s="141"/>
    </row>
    <row r="272" spans="1:19">
      <c r="A272" s="201" t="s">
        <v>449</v>
      </c>
      <c r="B272" s="202"/>
      <c r="C272" s="203"/>
      <c r="D272" s="204"/>
      <c r="E272" s="205"/>
      <c r="F272" s="205"/>
      <c r="G272" s="206">
        <f t="shared" si="85"/>
        <v>0</v>
      </c>
      <c r="H272" s="969"/>
      <c r="I272" s="201" t="s">
        <v>449</v>
      </c>
      <c r="J272" s="202"/>
      <c r="K272" s="203"/>
      <c r="L272" s="204"/>
      <c r="M272" s="205"/>
      <c r="N272" s="205"/>
      <c r="O272" s="206">
        <f t="shared" si="86"/>
        <v>0</v>
      </c>
      <c r="P272" s="182"/>
      <c r="Q272" s="141"/>
      <c r="S272" s="141"/>
    </row>
    <row r="273" spans="1:19">
      <c r="A273" s="212" t="s">
        <v>450</v>
      </c>
      <c r="B273" s="213"/>
      <c r="C273" s="203"/>
      <c r="D273" s="204"/>
      <c r="E273" s="205"/>
      <c r="F273" s="205"/>
      <c r="G273" s="206">
        <f t="shared" si="85"/>
        <v>0</v>
      </c>
      <c r="H273" s="969"/>
      <c r="I273" s="212" t="s">
        <v>450</v>
      </c>
      <c r="J273" s="213"/>
      <c r="K273" s="203">
        <v>84548</v>
      </c>
      <c r="L273" s="204"/>
      <c r="M273" s="205"/>
      <c r="N273" s="205"/>
      <c r="O273" s="206">
        <f t="shared" si="86"/>
        <v>84548</v>
      </c>
      <c r="P273" s="182"/>
      <c r="Q273" s="141"/>
      <c r="R273" s="141"/>
      <c r="S273" s="141"/>
    </row>
    <row r="274" spans="1:19">
      <c r="A274" s="212" t="s">
        <v>451</v>
      </c>
      <c r="B274" s="213"/>
      <c r="C274" s="203"/>
      <c r="D274" s="204"/>
      <c r="E274" s="205"/>
      <c r="F274" s="205"/>
      <c r="G274" s="206">
        <f t="shared" si="85"/>
        <v>0</v>
      </c>
      <c r="H274" s="969"/>
      <c r="I274" s="212" t="s">
        <v>451</v>
      </c>
      <c r="J274" s="213"/>
      <c r="K274" s="203"/>
      <c r="L274" s="204"/>
      <c r="M274" s="205"/>
      <c r="N274" s="205"/>
      <c r="O274" s="206">
        <f t="shared" si="86"/>
        <v>0</v>
      </c>
      <c r="P274" s="182"/>
      <c r="Q274" s="141"/>
      <c r="R274" s="141"/>
      <c r="S274" s="141"/>
    </row>
    <row r="275" spans="1:19">
      <c r="A275" s="214" t="s">
        <v>452</v>
      </c>
      <c r="B275" s="215"/>
      <c r="C275" s="216"/>
      <c r="D275" s="217"/>
      <c r="E275" s="218"/>
      <c r="F275" s="218"/>
      <c r="G275" s="206">
        <f t="shared" si="85"/>
        <v>0</v>
      </c>
      <c r="H275" s="969"/>
      <c r="I275" s="214" t="s">
        <v>452</v>
      </c>
      <c r="J275" s="215"/>
      <c r="K275" s="216"/>
      <c r="L275" s="204"/>
      <c r="M275" s="218"/>
      <c r="N275" s="218"/>
      <c r="O275" s="206">
        <f t="shared" si="86"/>
        <v>0</v>
      </c>
      <c r="P275" s="182"/>
      <c r="Q275" s="141"/>
      <c r="R275" s="141"/>
      <c r="S275" s="141"/>
    </row>
    <row r="276" spans="1:19" ht="12.75" thickBot="1">
      <c r="A276" s="214" t="s">
        <v>453</v>
      </c>
      <c r="B276" s="215"/>
      <c r="C276" s="216"/>
      <c r="D276" s="217"/>
      <c r="E276" s="218"/>
      <c r="F276" s="218"/>
      <c r="G276" s="206">
        <f t="shared" si="85"/>
        <v>0</v>
      </c>
      <c r="H276" s="969"/>
      <c r="I276" s="214" t="s">
        <v>453</v>
      </c>
      <c r="J276" s="215"/>
      <c r="K276" s="216"/>
      <c r="L276" s="217"/>
      <c r="M276" s="218"/>
      <c r="N276" s="218"/>
      <c r="O276" s="206">
        <f t="shared" si="86"/>
        <v>0</v>
      </c>
      <c r="P276" s="182"/>
      <c r="Q276" s="141"/>
      <c r="R276" s="141"/>
      <c r="S276" s="141"/>
    </row>
    <row r="277" spans="1:19" ht="12.75" thickBot="1">
      <c r="A277" s="181" t="s">
        <v>454</v>
      </c>
      <c r="B277" s="207">
        <f t="shared" ref="B277:G277" si="87">+B269+B270+B271+B272+B273+B274+B275+B276</f>
        <v>0</v>
      </c>
      <c r="C277" s="208">
        <f t="shared" si="87"/>
        <v>0</v>
      </c>
      <c r="D277" s="209">
        <f t="shared" si="87"/>
        <v>0</v>
      </c>
      <c r="E277" s="207">
        <f t="shared" si="87"/>
        <v>0</v>
      </c>
      <c r="F277" s="207">
        <f t="shared" si="87"/>
        <v>0</v>
      </c>
      <c r="G277" s="208">
        <f t="shared" si="87"/>
        <v>0</v>
      </c>
      <c r="I277" s="181" t="s">
        <v>454</v>
      </c>
      <c r="J277" s="207">
        <f t="shared" ref="J277:O277" si="88">+J269+J270+J271+J272+J273+J274+J275+J276</f>
        <v>0</v>
      </c>
      <c r="K277" s="208">
        <f t="shared" si="88"/>
        <v>84548</v>
      </c>
      <c r="L277" s="209">
        <f t="shared" si="88"/>
        <v>0</v>
      </c>
      <c r="M277" s="207">
        <f t="shared" si="88"/>
        <v>0</v>
      </c>
      <c r="N277" s="207">
        <f t="shared" si="88"/>
        <v>0</v>
      </c>
      <c r="O277" s="208">
        <f t="shared" si="88"/>
        <v>84548</v>
      </c>
      <c r="P277" s="182"/>
      <c r="R277" s="969"/>
    </row>
    <row r="278" spans="1:19">
      <c r="A278" s="182"/>
      <c r="B278" s="182"/>
      <c r="C278" s="182"/>
      <c r="D278" s="182"/>
      <c r="E278" s="182"/>
      <c r="F278" s="182"/>
      <c r="G278" s="182"/>
      <c r="H278" s="969"/>
      <c r="I278" s="182"/>
      <c r="J278" s="182"/>
      <c r="K278" s="182"/>
      <c r="L278" s="182"/>
      <c r="M278" s="182"/>
      <c r="N278" s="182"/>
      <c r="O278" s="182"/>
      <c r="P278" s="182"/>
    </row>
    <row r="280" spans="1:19" s="962" customFormat="1" ht="15.75">
      <c r="A280" s="180" t="s">
        <v>1567</v>
      </c>
      <c r="B280" s="1002" t="s">
        <v>1585</v>
      </c>
      <c r="C280" s="1002"/>
      <c r="D280" s="1002"/>
      <c r="E280" s="1002"/>
      <c r="F280" s="1002"/>
      <c r="G280" s="1002"/>
      <c r="H280" s="854"/>
      <c r="I280" s="180" t="s">
        <v>1568</v>
      </c>
      <c r="J280" s="1002" t="s">
        <v>1587</v>
      </c>
      <c r="K280" s="1002"/>
      <c r="L280" s="1002"/>
      <c r="M280" s="1002"/>
      <c r="N280" s="1002"/>
      <c r="O280" s="1002"/>
      <c r="P280" s="1002"/>
    </row>
    <row r="281" spans="1:19" s="962" customFormat="1" ht="15.75" customHeight="1">
      <c r="A281" s="1405" t="s">
        <v>1586</v>
      </c>
      <c r="B281" s="1405"/>
      <c r="C281" s="1405"/>
      <c r="D281" s="1405"/>
      <c r="E281" s="1405"/>
      <c r="F281" s="1405"/>
      <c r="G281" s="1405"/>
      <c r="H281" s="854"/>
      <c r="I281" s="1405" t="s">
        <v>1588</v>
      </c>
      <c r="J281" s="1405"/>
      <c r="K281" s="1405"/>
      <c r="L281" s="1405"/>
      <c r="M281" s="1405"/>
      <c r="N281" s="1405"/>
      <c r="O281" s="1405"/>
      <c r="P281" s="1003"/>
    </row>
    <row r="282" spans="1:19" s="962" customFormat="1" ht="15.75">
      <c r="A282" s="1466" t="s">
        <v>1126</v>
      </c>
      <c r="B282" s="1466"/>
      <c r="C282" s="1466"/>
      <c r="D282" s="1466"/>
      <c r="E282" s="1466"/>
      <c r="F282" s="1466"/>
      <c r="G282" s="1466"/>
      <c r="H282" s="854"/>
      <c r="I282" s="1466" t="s">
        <v>1126</v>
      </c>
      <c r="J282" s="1466"/>
      <c r="K282" s="1466"/>
      <c r="L282" s="1466"/>
      <c r="M282" s="1466"/>
      <c r="N282" s="1466"/>
      <c r="O282" s="1466"/>
      <c r="P282" s="1004"/>
    </row>
    <row r="283" spans="1:19" s="965" customFormat="1" ht="12.75" thickBot="1">
      <c r="A283" s="964"/>
      <c r="B283" s="964"/>
      <c r="D283" s="964"/>
      <c r="E283" s="964"/>
      <c r="G283" s="230" t="s">
        <v>281</v>
      </c>
      <c r="H283" s="966"/>
      <c r="I283" s="964"/>
      <c r="J283" s="964"/>
      <c r="K283" s="964"/>
      <c r="L283" s="964"/>
      <c r="M283" s="964"/>
      <c r="O283" s="230" t="s">
        <v>281</v>
      </c>
      <c r="P283" s="951"/>
    </row>
    <row r="284" spans="1:19" s="968" customFormat="1" ht="24.75" thickBot="1">
      <c r="A284" s="414" t="s">
        <v>432</v>
      </c>
      <c r="B284" s="415" t="s">
        <v>1325</v>
      </c>
      <c r="C284" s="188" t="s">
        <v>1317</v>
      </c>
      <c r="D284" s="395" t="s">
        <v>461</v>
      </c>
      <c r="E284" s="396" t="s">
        <v>462</v>
      </c>
      <c r="F284" s="396" t="s">
        <v>1324</v>
      </c>
      <c r="G284" s="1005" t="s">
        <v>18</v>
      </c>
      <c r="H284" s="971"/>
      <c r="I284" s="414" t="s">
        <v>432</v>
      </c>
      <c r="J284" s="415" t="s">
        <v>1325</v>
      </c>
      <c r="K284" s="188" t="s">
        <v>1317</v>
      </c>
      <c r="L284" s="395" t="s">
        <v>461</v>
      </c>
      <c r="M284" s="396" t="s">
        <v>462</v>
      </c>
      <c r="N284" s="396" t="s">
        <v>1324</v>
      </c>
      <c r="O284" s="1005" t="s">
        <v>18</v>
      </c>
      <c r="P284" s="952"/>
    </row>
    <row r="285" spans="1:19">
      <c r="A285" s="189" t="s">
        <v>433</v>
      </c>
      <c r="B285" s="190">
        <f t="shared" ref="B285:G285" si="89">+B302-B290-B289-B288-B287</f>
        <v>0</v>
      </c>
      <c r="C285" s="191">
        <f t="shared" si="89"/>
        <v>0</v>
      </c>
      <c r="D285" s="192">
        <f t="shared" si="89"/>
        <v>0</v>
      </c>
      <c r="E285" s="193">
        <f t="shared" si="89"/>
        <v>0</v>
      </c>
      <c r="F285" s="193">
        <f t="shared" si="89"/>
        <v>0</v>
      </c>
      <c r="G285" s="194">
        <f t="shared" si="89"/>
        <v>0</v>
      </c>
      <c r="H285" s="969"/>
      <c r="I285" s="189" t="s">
        <v>433</v>
      </c>
      <c r="J285" s="190">
        <f t="shared" ref="J285:O285" si="90">+J302-J290-J289-J288-J287</f>
        <v>0</v>
      </c>
      <c r="K285" s="191">
        <f t="shared" si="90"/>
        <v>25745</v>
      </c>
      <c r="L285" s="192">
        <f t="shared" si="90"/>
        <v>0</v>
      </c>
      <c r="M285" s="193">
        <f t="shared" si="90"/>
        <v>0</v>
      </c>
      <c r="N285" s="193">
        <f t="shared" si="90"/>
        <v>0</v>
      </c>
      <c r="O285" s="194">
        <f t="shared" si="90"/>
        <v>25745</v>
      </c>
      <c r="P285" s="182"/>
    </row>
    <row r="286" spans="1:19">
      <c r="A286" s="195" t="s">
        <v>434</v>
      </c>
      <c r="B286" s="196"/>
      <c r="C286" s="197"/>
      <c r="D286" s="198"/>
      <c r="E286" s="199"/>
      <c r="F286" s="199"/>
      <c r="G286" s="200">
        <f>+B286+C286+D286+E286+F286</f>
        <v>0</v>
      </c>
      <c r="H286" s="969"/>
      <c r="I286" s="195" t="s">
        <v>434</v>
      </c>
      <c r="J286" s="196"/>
      <c r="K286" s="197"/>
      <c r="L286" s="198"/>
      <c r="M286" s="199"/>
      <c r="N286" s="199"/>
      <c r="O286" s="200">
        <f>+J286+K286+L286+M286+N286</f>
        <v>0</v>
      </c>
      <c r="P286" s="953"/>
      <c r="Q286" s="141"/>
    </row>
    <row r="287" spans="1:19">
      <c r="A287" s="201" t="s">
        <v>435</v>
      </c>
      <c r="B287" s="202"/>
      <c r="C287" s="203"/>
      <c r="D287" s="204"/>
      <c r="E287" s="205"/>
      <c r="F287" s="205"/>
      <c r="G287" s="206">
        <f>+B287+C287+D287+E287+F287</f>
        <v>0</v>
      </c>
      <c r="H287" s="969"/>
      <c r="I287" s="201" t="s">
        <v>435</v>
      </c>
      <c r="J287" s="202"/>
      <c r="K287" s="203"/>
      <c r="L287" s="204"/>
      <c r="M287" s="205"/>
      <c r="N287" s="205"/>
      <c r="O287" s="206">
        <f>+J287+K287+L287+M287+N287</f>
        <v>0</v>
      </c>
      <c r="P287" s="182"/>
      <c r="Q287" s="141"/>
      <c r="R287" s="141"/>
      <c r="S287" s="141"/>
    </row>
    <row r="288" spans="1:19">
      <c r="A288" s="201" t="s">
        <v>436</v>
      </c>
      <c r="B288" s="202"/>
      <c r="C288" s="203"/>
      <c r="D288" s="204"/>
      <c r="E288" s="205"/>
      <c r="F288" s="205"/>
      <c r="G288" s="206">
        <f>+B288+C288+D288+E288+F288</f>
        <v>0</v>
      </c>
      <c r="H288" s="969"/>
      <c r="I288" s="201" t="s">
        <v>436</v>
      </c>
      <c r="J288" s="202"/>
      <c r="K288" s="203"/>
      <c r="L288" s="204"/>
      <c r="M288" s="205"/>
      <c r="N288" s="205"/>
      <c r="O288" s="206">
        <f>+J288+K288+L288+M288+N288</f>
        <v>0</v>
      </c>
      <c r="P288" s="182"/>
      <c r="Q288" s="141"/>
    </row>
    <row r="289" spans="1:19">
      <c r="A289" s="201" t="s">
        <v>437</v>
      </c>
      <c r="B289" s="202"/>
      <c r="C289" s="203"/>
      <c r="D289" s="204"/>
      <c r="E289" s="205"/>
      <c r="F289" s="205"/>
      <c r="G289" s="206">
        <f>+B289+C289+D289+E289+F289</f>
        <v>0</v>
      </c>
      <c r="H289" s="969"/>
      <c r="I289" s="201" t="s">
        <v>437</v>
      </c>
      <c r="J289" s="202"/>
      <c r="K289" s="203"/>
      <c r="L289" s="204"/>
      <c r="M289" s="205"/>
      <c r="N289" s="205"/>
      <c r="O289" s="206">
        <f>+J289+K289+L289+M289+N289</f>
        <v>0</v>
      </c>
      <c r="P289" s="182"/>
      <c r="Q289" s="141"/>
    </row>
    <row r="290" spans="1:19" ht="12.75" thickBot="1">
      <c r="A290" s="201" t="s">
        <v>438</v>
      </c>
      <c r="B290" s="202"/>
      <c r="C290" s="203"/>
      <c r="D290" s="204"/>
      <c r="E290" s="205"/>
      <c r="F290" s="205"/>
      <c r="G290" s="206">
        <f>+B290+C290+D290+E290+F290</f>
        <v>0</v>
      </c>
      <c r="H290" s="969"/>
      <c r="I290" s="201" t="s">
        <v>438</v>
      </c>
      <c r="J290" s="202"/>
      <c r="K290" s="203"/>
      <c r="L290" s="204"/>
      <c r="M290" s="205"/>
      <c r="N290" s="205"/>
      <c r="O290" s="206">
        <f>+J290+K290+L290+M290+N290</f>
        <v>0</v>
      </c>
      <c r="P290" s="182"/>
      <c r="Q290" s="141"/>
    </row>
    <row r="291" spans="1:19" ht="12.75" thickBot="1">
      <c r="A291" s="181" t="s">
        <v>439</v>
      </c>
      <c r="B291" s="207">
        <f t="shared" ref="B291:G291" si="91">+B285+B287+B288+B289+B290</f>
        <v>0</v>
      </c>
      <c r="C291" s="208">
        <f t="shared" si="91"/>
        <v>0</v>
      </c>
      <c r="D291" s="209">
        <f t="shared" si="91"/>
        <v>0</v>
      </c>
      <c r="E291" s="207">
        <f t="shared" si="91"/>
        <v>0</v>
      </c>
      <c r="F291" s="207">
        <f t="shared" si="91"/>
        <v>0</v>
      </c>
      <c r="G291" s="208">
        <f t="shared" si="91"/>
        <v>0</v>
      </c>
      <c r="H291" s="969"/>
      <c r="I291" s="181" t="s">
        <v>439</v>
      </c>
      <c r="J291" s="207">
        <f t="shared" ref="J291:O291" si="92">+J285+J287+J288+J289+J290</f>
        <v>0</v>
      </c>
      <c r="K291" s="208">
        <f t="shared" si="92"/>
        <v>25745</v>
      </c>
      <c r="L291" s="209">
        <f t="shared" si="92"/>
        <v>0</v>
      </c>
      <c r="M291" s="207">
        <f t="shared" si="92"/>
        <v>0</v>
      </c>
      <c r="N291" s="207">
        <f t="shared" si="92"/>
        <v>0</v>
      </c>
      <c r="O291" s="208">
        <f t="shared" si="92"/>
        <v>25745</v>
      </c>
      <c r="P291" s="182"/>
    </row>
    <row r="292" spans="1:19" ht="12.75" thickBot="1">
      <c r="A292" s="210"/>
      <c r="B292" s="210"/>
      <c r="C292" s="210"/>
      <c r="D292" s="210"/>
      <c r="E292" s="210"/>
      <c r="F292" s="210"/>
      <c r="G292" s="210"/>
      <c r="H292" s="969"/>
      <c r="I292" s="210"/>
      <c r="J292" s="210"/>
      <c r="K292" s="210"/>
      <c r="L292" s="210"/>
      <c r="M292" s="210"/>
      <c r="N292" s="210"/>
      <c r="O292" s="210"/>
      <c r="P292" s="210"/>
    </row>
    <row r="293" spans="1:19" s="968" customFormat="1" ht="24.75" thickBot="1">
      <c r="A293" s="414" t="s">
        <v>432</v>
      </c>
      <c r="B293" s="415" t="s">
        <v>1325</v>
      </c>
      <c r="C293" s="188" t="s">
        <v>1317</v>
      </c>
      <c r="D293" s="395" t="s">
        <v>461</v>
      </c>
      <c r="E293" s="396" t="s">
        <v>462</v>
      </c>
      <c r="F293" s="396" t="s">
        <v>1324</v>
      </c>
      <c r="G293" s="1005" t="s">
        <v>18</v>
      </c>
      <c r="H293" s="971"/>
      <c r="I293" s="414" t="s">
        <v>432</v>
      </c>
      <c r="J293" s="415" t="s">
        <v>1325</v>
      </c>
      <c r="K293" s="188" t="s">
        <v>1317</v>
      </c>
      <c r="L293" s="395" t="s">
        <v>461</v>
      </c>
      <c r="M293" s="396" t="s">
        <v>462</v>
      </c>
      <c r="N293" s="396" t="s">
        <v>1324</v>
      </c>
      <c r="O293" s="1005" t="s">
        <v>18</v>
      </c>
      <c r="P293" s="952"/>
    </row>
    <row r="294" spans="1:19">
      <c r="A294" s="189" t="s">
        <v>446</v>
      </c>
      <c r="B294" s="190"/>
      <c r="C294" s="191"/>
      <c r="D294" s="192"/>
      <c r="E294" s="193"/>
      <c r="F294" s="193"/>
      <c r="G294" s="194">
        <f t="shared" ref="G294:G301" si="93">+B294+C294+D294+E294+F294</f>
        <v>0</v>
      </c>
      <c r="H294" s="969"/>
      <c r="I294" s="189" t="s">
        <v>446</v>
      </c>
      <c r="J294" s="190"/>
      <c r="K294" s="191"/>
      <c r="L294" s="192"/>
      <c r="M294" s="193"/>
      <c r="N294" s="193"/>
      <c r="O294" s="194">
        <f t="shared" ref="O294:O301" si="94">+J294+K294+L294+M294+N294</f>
        <v>0</v>
      </c>
      <c r="P294" s="182"/>
      <c r="Q294" s="141"/>
      <c r="R294" s="141"/>
      <c r="S294" s="141"/>
    </row>
    <row r="295" spans="1:19">
      <c r="A295" s="211" t="s">
        <v>447</v>
      </c>
      <c r="B295" s="202"/>
      <c r="C295" s="203"/>
      <c r="D295" s="204"/>
      <c r="E295" s="205"/>
      <c r="F295" s="205"/>
      <c r="G295" s="206">
        <f t="shared" si="93"/>
        <v>0</v>
      </c>
      <c r="H295" s="969"/>
      <c r="I295" s="211" t="s">
        <v>447</v>
      </c>
      <c r="J295" s="202"/>
      <c r="K295" s="203"/>
      <c r="L295" s="204"/>
      <c r="M295" s="205"/>
      <c r="N295" s="205"/>
      <c r="O295" s="206">
        <f t="shared" si="94"/>
        <v>0</v>
      </c>
      <c r="P295" s="182"/>
      <c r="Q295" s="141"/>
      <c r="R295" s="141"/>
      <c r="S295" s="141"/>
    </row>
    <row r="296" spans="1:19">
      <c r="A296" s="201" t="s">
        <v>448</v>
      </c>
      <c r="B296" s="202"/>
      <c r="C296" s="203"/>
      <c r="D296" s="204"/>
      <c r="E296" s="205"/>
      <c r="F296" s="205"/>
      <c r="G296" s="206">
        <f t="shared" si="93"/>
        <v>0</v>
      </c>
      <c r="H296" s="969"/>
      <c r="I296" s="201" t="s">
        <v>448</v>
      </c>
      <c r="J296" s="202"/>
      <c r="K296" s="203"/>
      <c r="L296" s="204"/>
      <c r="M296" s="205"/>
      <c r="N296" s="205"/>
      <c r="O296" s="206">
        <f t="shared" si="94"/>
        <v>0</v>
      </c>
      <c r="P296" s="182"/>
      <c r="Q296" s="141"/>
      <c r="R296" s="141"/>
      <c r="S296" s="141"/>
    </row>
    <row r="297" spans="1:19">
      <c r="A297" s="201" t="s">
        <v>449</v>
      </c>
      <c r="B297" s="202"/>
      <c r="C297" s="203"/>
      <c r="D297" s="204"/>
      <c r="E297" s="205"/>
      <c r="F297" s="205"/>
      <c r="G297" s="206">
        <f t="shared" si="93"/>
        <v>0</v>
      </c>
      <c r="H297" s="969"/>
      <c r="I297" s="201" t="s">
        <v>449</v>
      </c>
      <c r="J297" s="202"/>
      <c r="K297" s="203"/>
      <c r="L297" s="204"/>
      <c r="M297" s="205"/>
      <c r="N297" s="205"/>
      <c r="O297" s="206">
        <f t="shared" si="94"/>
        <v>0</v>
      </c>
      <c r="P297" s="182"/>
      <c r="Q297" s="141"/>
      <c r="S297" s="141"/>
    </row>
    <row r="298" spans="1:19">
      <c r="A298" s="212" t="s">
        <v>450</v>
      </c>
      <c r="B298" s="213"/>
      <c r="C298" s="203"/>
      <c r="D298" s="204"/>
      <c r="E298" s="205"/>
      <c r="F298" s="205"/>
      <c r="G298" s="206">
        <f t="shared" si="93"/>
        <v>0</v>
      </c>
      <c r="H298" s="969"/>
      <c r="I298" s="212" t="s">
        <v>450</v>
      </c>
      <c r="J298" s="213"/>
      <c r="K298" s="203">
        <v>25745</v>
      </c>
      <c r="L298" s="204"/>
      <c r="M298" s="205"/>
      <c r="N298" s="205"/>
      <c r="O298" s="206">
        <f t="shared" si="94"/>
        <v>25745</v>
      </c>
      <c r="P298" s="182"/>
      <c r="Q298" s="141"/>
      <c r="R298" s="141"/>
      <c r="S298" s="141"/>
    </row>
    <row r="299" spans="1:19">
      <c r="A299" s="212" t="s">
        <v>451</v>
      </c>
      <c r="B299" s="213"/>
      <c r="C299" s="203"/>
      <c r="D299" s="204"/>
      <c r="E299" s="205"/>
      <c r="F299" s="205"/>
      <c r="G299" s="206">
        <f t="shared" si="93"/>
        <v>0</v>
      </c>
      <c r="H299" s="969"/>
      <c r="I299" s="212" t="s">
        <v>451</v>
      </c>
      <c r="J299" s="213"/>
      <c r="K299" s="203"/>
      <c r="L299" s="204"/>
      <c r="M299" s="205"/>
      <c r="N299" s="205"/>
      <c r="O299" s="206">
        <f t="shared" si="94"/>
        <v>0</v>
      </c>
      <c r="P299" s="182"/>
      <c r="Q299" s="141"/>
      <c r="R299" s="141"/>
      <c r="S299" s="141"/>
    </row>
    <row r="300" spans="1:19">
      <c r="A300" s="214" t="s">
        <v>452</v>
      </c>
      <c r="B300" s="215"/>
      <c r="C300" s="216"/>
      <c r="D300" s="217"/>
      <c r="E300" s="218"/>
      <c r="F300" s="218"/>
      <c r="G300" s="206">
        <f t="shared" si="93"/>
        <v>0</v>
      </c>
      <c r="H300" s="969"/>
      <c r="I300" s="214" t="s">
        <v>452</v>
      </c>
      <c r="J300" s="215"/>
      <c r="K300" s="216"/>
      <c r="L300" s="204"/>
      <c r="M300" s="218"/>
      <c r="N300" s="218"/>
      <c r="O300" s="206">
        <f t="shared" si="94"/>
        <v>0</v>
      </c>
      <c r="P300" s="182"/>
      <c r="Q300" s="141"/>
      <c r="R300" s="141"/>
      <c r="S300" s="141"/>
    </row>
    <row r="301" spans="1:19" ht="12.75" thickBot="1">
      <c r="A301" s="214" t="s">
        <v>453</v>
      </c>
      <c r="B301" s="215"/>
      <c r="C301" s="216"/>
      <c r="D301" s="217"/>
      <c r="E301" s="218"/>
      <c r="F301" s="218"/>
      <c r="G301" s="206">
        <f t="shared" si="93"/>
        <v>0</v>
      </c>
      <c r="H301" s="969"/>
      <c r="I301" s="214" t="s">
        <v>453</v>
      </c>
      <c r="J301" s="215"/>
      <c r="K301" s="216"/>
      <c r="L301" s="217"/>
      <c r="M301" s="218"/>
      <c r="N301" s="218"/>
      <c r="O301" s="206">
        <f t="shared" si="94"/>
        <v>0</v>
      </c>
      <c r="P301" s="182"/>
      <c r="Q301" s="141"/>
      <c r="R301" s="141"/>
      <c r="S301" s="141"/>
    </row>
    <row r="302" spans="1:19" ht="12.75" thickBot="1">
      <c r="A302" s="181" t="s">
        <v>454</v>
      </c>
      <c r="B302" s="207">
        <f t="shared" ref="B302:G302" si="95">+B294+B295+B296+B297+B298+B299+B300+B301</f>
        <v>0</v>
      </c>
      <c r="C302" s="208">
        <f t="shared" si="95"/>
        <v>0</v>
      </c>
      <c r="D302" s="209">
        <f t="shared" si="95"/>
        <v>0</v>
      </c>
      <c r="E302" s="207">
        <f t="shared" si="95"/>
        <v>0</v>
      </c>
      <c r="F302" s="207">
        <f t="shared" si="95"/>
        <v>0</v>
      </c>
      <c r="G302" s="208">
        <f t="shared" si="95"/>
        <v>0</v>
      </c>
      <c r="I302" s="181" t="s">
        <v>454</v>
      </c>
      <c r="J302" s="207">
        <f t="shared" ref="J302:O302" si="96">+J294+J295+J296+J297+J298+J299+J300+J301</f>
        <v>0</v>
      </c>
      <c r="K302" s="208">
        <f t="shared" si="96"/>
        <v>25745</v>
      </c>
      <c r="L302" s="209">
        <f t="shared" si="96"/>
        <v>0</v>
      </c>
      <c r="M302" s="207">
        <f t="shared" si="96"/>
        <v>0</v>
      </c>
      <c r="N302" s="207">
        <f t="shared" si="96"/>
        <v>0</v>
      </c>
      <c r="O302" s="208">
        <f t="shared" si="96"/>
        <v>25745</v>
      </c>
      <c r="P302" s="182"/>
      <c r="R302" s="969"/>
    </row>
    <row r="303" spans="1:19">
      <c r="A303" s="182"/>
      <c r="B303" s="182"/>
      <c r="C303" s="182"/>
      <c r="D303" s="182"/>
      <c r="E303" s="182"/>
      <c r="F303" s="182"/>
      <c r="G303" s="182"/>
      <c r="H303" s="969"/>
      <c r="I303" s="182"/>
      <c r="J303" s="182"/>
      <c r="K303" s="182"/>
      <c r="L303" s="182"/>
      <c r="M303" s="182"/>
      <c r="N303" s="182"/>
      <c r="O303" s="182"/>
      <c r="P303" s="182"/>
    </row>
    <row r="305" spans="1:24" s="962" customFormat="1" ht="15.75">
      <c r="A305" s="180" t="s">
        <v>1569</v>
      </c>
      <c r="B305" s="1467" t="s">
        <v>1601</v>
      </c>
      <c r="C305" s="1467"/>
      <c r="D305" s="1467"/>
      <c r="E305" s="1467"/>
      <c r="F305" s="1467"/>
      <c r="G305" s="1467"/>
      <c r="H305" s="854"/>
      <c r="I305" s="180" t="s">
        <v>1570</v>
      </c>
      <c r="J305" s="1470" t="s">
        <v>19</v>
      </c>
      <c r="K305" s="1467"/>
      <c r="L305" s="1467"/>
      <c r="M305" s="1467"/>
      <c r="N305" s="1467"/>
      <c r="O305" s="1467"/>
      <c r="P305" s="1002"/>
    </row>
    <row r="306" spans="1:24" s="962" customFormat="1" ht="15.75" customHeight="1">
      <c r="A306" s="1405" t="s">
        <v>1600</v>
      </c>
      <c r="B306" s="1405"/>
      <c r="C306" s="1405"/>
      <c r="D306" s="1405"/>
      <c r="E306" s="1405"/>
      <c r="F306" s="1405"/>
      <c r="G306" s="1405"/>
      <c r="H306" s="854"/>
      <c r="I306" s="1405" t="s">
        <v>19</v>
      </c>
      <c r="J306" s="1405"/>
      <c r="K306" s="1405"/>
      <c r="L306" s="1405"/>
      <c r="M306" s="1405"/>
      <c r="N306" s="1405"/>
      <c r="O306" s="1405"/>
      <c r="P306" s="1003"/>
    </row>
    <row r="307" spans="1:24" s="962" customFormat="1" ht="15.75">
      <c r="A307" s="1466" t="s">
        <v>1126</v>
      </c>
      <c r="B307" s="1466"/>
      <c r="C307" s="1466"/>
      <c r="D307" s="1466"/>
      <c r="E307" s="1466"/>
      <c r="F307" s="1466"/>
      <c r="G307" s="1466"/>
      <c r="H307" s="854"/>
      <c r="I307" s="1466" t="s">
        <v>19</v>
      </c>
      <c r="J307" s="1466"/>
      <c r="K307" s="1466"/>
      <c r="L307" s="1466"/>
      <c r="M307" s="1466"/>
      <c r="N307" s="1466"/>
      <c r="O307" s="1466"/>
      <c r="P307" s="1004"/>
    </row>
    <row r="308" spans="1:24" s="965" customFormat="1" ht="12.75" thickBot="1">
      <c r="A308" s="964"/>
      <c r="B308" s="964"/>
      <c r="D308" s="964"/>
      <c r="E308" s="964"/>
      <c r="G308" s="230" t="s">
        <v>281</v>
      </c>
      <c r="H308" s="966"/>
      <c r="I308" s="964"/>
      <c r="J308" s="964"/>
      <c r="L308" s="964"/>
      <c r="M308" s="964"/>
      <c r="O308" s="230" t="s">
        <v>281</v>
      </c>
      <c r="P308" s="951"/>
    </row>
    <row r="309" spans="1:24" s="968" customFormat="1" ht="24.75" thickBot="1">
      <c r="A309" s="414" t="s">
        <v>432</v>
      </c>
      <c r="B309" s="415" t="s">
        <v>1325</v>
      </c>
      <c r="C309" s="188" t="s">
        <v>1317</v>
      </c>
      <c r="D309" s="395" t="s">
        <v>461</v>
      </c>
      <c r="E309" s="396" t="s">
        <v>462</v>
      </c>
      <c r="F309" s="396" t="s">
        <v>1324</v>
      </c>
      <c r="G309" s="1005" t="s">
        <v>18</v>
      </c>
      <c r="H309" s="971"/>
      <c r="I309" s="414" t="s">
        <v>432</v>
      </c>
      <c r="J309" s="415" t="s">
        <v>1325</v>
      </c>
      <c r="K309" s="188" t="s">
        <v>1317</v>
      </c>
      <c r="L309" s="395" t="s">
        <v>461</v>
      </c>
      <c r="M309" s="396" t="s">
        <v>462</v>
      </c>
      <c r="N309" s="396" t="s">
        <v>1324</v>
      </c>
      <c r="O309" s="1005" t="s">
        <v>18</v>
      </c>
      <c r="P309" s="952"/>
    </row>
    <row r="310" spans="1:24">
      <c r="A310" s="189" t="s">
        <v>433</v>
      </c>
      <c r="B310" s="190">
        <f t="shared" ref="B310:G310" si="97">+B327-B315-B314-B313-B312</f>
        <v>0</v>
      </c>
      <c r="C310" s="191">
        <f t="shared" si="97"/>
        <v>51650</v>
      </c>
      <c r="D310" s="192">
        <f t="shared" si="97"/>
        <v>0</v>
      </c>
      <c r="E310" s="193">
        <f t="shared" si="97"/>
        <v>0</v>
      </c>
      <c r="F310" s="193">
        <f t="shared" si="97"/>
        <v>0</v>
      </c>
      <c r="G310" s="194">
        <f t="shared" si="97"/>
        <v>51650</v>
      </c>
      <c r="H310" s="969"/>
      <c r="I310" s="189" t="s">
        <v>433</v>
      </c>
      <c r="J310" s="190">
        <f t="shared" ref="J310:O310" si="98">+J327-J315-J314-J313-J312</f>
        <v>0</v>
      </c>
      <c r="K310" s="191">
        <f t="shared" si="98"/>
        <v>0</v>
      </c>
      <c r="L310" s="192">
        <f t="shared" si="98"/>
        <v>0</v>
      </c>
      <c r="M310" s="193">
        <f t="shared" si="98"/>
        <v>0</v>
      </c>
      <c r="N310" s="193">
        <f t="shared" si="98"/>
        <v>0</v>
      </c>
      <c r="O310" s="194">
        <f t="shared" si="98"/>
        <v>0</v>
      </c>
      <c r="Q310" s="182">
        <f>+B310+J310+J135++B135+J110+B110+J85+B85+J60+B60+J35+B35+J10+B10+B160+J160+B185+J185+B210+J210+B235+J235+B260+J260+B285+J285</f>
        <v>0</v>
      </c>
    </row>
    <row r="311" spans="1:24">
      <c r="A311" s="195" t="s">
        <v>434</v>
      </c>
      <c r="B311" s="196"/>
      <c r="C311" s="197"/>
      <c r="D311" s="198"/>
      <c r="E311" s="199"/>
      <c r="F311" s="199"/>
      <c r="G311" s="200">
        <f>+B311+C311+D311+E311+F311</f>
        <v>0</v>
      </c>
      <c r="H311" s="969"/>
      <c r="I311" s="195" t="s">
        <v>434</v>
      </c>
      <c r="J311" s="196"/>
      <c r="K311" s="197"/>
      <c r="L311" s="198"/>
      <c r="M311" s="199"/>
      <c r="N311" s="199"/>
      <c r="O311" s="200">
        <f>+J311+K311+L311+M311+N311</f>
        <v>0</v>
      </c>
      <c r="P311" s="953"/>
      <c r="Q311" s="141">
        <f>+C11+C36+K11+K36+C61+K61+C86+K86+C111+K111+C136+K136+C311+K311+C161+K161+C186+K186+C211+K211+C236+K236+C261+K261+C286+K286</f>
        <v>0</v>
      </c>
    </row>
    <row r="312" spans="1:24">
      <c r="A312" s="201" t="s">
        <v>435</v>
      </c>
      <c r="B312" s="202"/>
      <c r="C312" s="203"/>
      <c r="D312" s="204"/>
      <c r="E312" s="205"/>
      <c r="F312" s="205"/>
      <c r="G312" s="206">
        <f>+B312+C312+D312+E312+F312</f>
        <v>0</v>
      </c>
      <c r="H312" s="969"/>
      <c r="I312" s="201" t="s">
        <v>435</v>
      </c>
      <c r="J312" s="202"/>
      <c r="K312" s="203"/>
      <c r="L312" s="204"/>
      <c r="M312" s="205"/>
      <c r="N312" s="205"/>
      <c r="O312" s="206">
        <f>+J312+K312+L312+M312+N312</f>
        <v>0</v>
      </c>
      <c r="P312" s="182"/>
      <c r="Q312" s="141">
        <f t="shared" ref="Q312:Q315" si="99">+C12+C37+K12+K37+C62+K62+C87+K87+C112+K112+C137+K137+C312+K312+C162+K162+C187+K187+C212+K212+C237+K237+C262+K262+C287+K287</f>
        <v>0</v>
      </c>
      <c r="R312" s="1093">
        <f>+'1.mell._Össz_Mérleg2019'!C57</f>
        <v>0</v>
      </c>
      <c r="S312" s="141">
        <f>+Q312-R312</f>
        <v>0</v>
      </c>
      <c r="U312" s="141">
        <f>+D12+E12+F12+L12+M12+N12+D37+E37+F37+L37+M37+N37+N62+M62+L62+F62+E62+D62+D87+E87+F87+L87+M87+N87+N112+M112+L112+F112+E112+D112+D312+E312+F312+L312+M312+N312+D137+E137+F137+L137+M137+N137</f>
        <v>0</v>
      </c>
      <c r="V312" s="141">
        <f>+Q312+U312</f>
        <v>0</v>
      </c>
      <c r="W312" s="141">
        <v>1836441</v>
      </c>
      <c r="X312" s="141">
        <f>+W312+R312-Q327</f>
        <v>-876517</v>
      </c>
    </row>
    <row r="313" spans="1:24">
      <c r="A313" s="201" t="s">
        <v>436</v>
      </c>
      <c r="B313" s="202"/>
      <c r="C313" s="203"/>
      <c r="D313" s="204"/>
      <c r="E313" s="205"/>
      <c r="F313" s="205"/>
      <c r="G313" s="206">
        <f>+B313+C313+D313+E313+F313</f>
        <v>0</v>
      </c>
      <c r="H313" s="969"/>
      <c r="I313" s="201" t="s">
        <v>436</v>
      </c>
      <c r="J313" s="202"/>
      <c r="K313" s="203"/>
      <c r="L313" s="204"/>
      <c r="M313" s="205"/>
      <c r="N313" s="205"/>
      <c r="O313" s="206">
        <f>+J313+K313+L313+M313+N313</f>
        <v>0</v>
      </c>
      <c r="P313" s="182"/>
      <c r="Q313" s="141">
        <f t="shared" si="99"/>
        <v>0</v>
      </c>
      <c r="W313" s="141">
        <f>+W312+V312</f>
        <v>1836441</v>
      </c>
    </row>
    <row r="314" spans="1:24">
      <c r="A314" s="201" t="s">
        <v>437</v>
      </c>
      <c r="B314" s="202"/>
      <c r="C314" s="203"/>
      <c r="D314" s="204"/>
      <c r="E314" s="205"/>
      <c r="F314" s="205"/>
      <c r="G314" s="206">
        <f>+B314+C314+D314+E314+F314</f>
        <v>0</v>
      </c>
      <c r="H314" s="969"/>
      <c r="I314" s="201" t="s">
        <v>437</v>
      </c>
      <c r="J314" s="202"/>
      <c r="K314" s="203"/>
      <c r="L314" s="204"/>
      <c r="M314" s="205"/>
      <c r="N314" s="205"/>
      <c r="O314" s="206">
        <f>+J314+K314+L314+M314+N314</f>
        <v>0</v>
      </c>
      <c r="P314" s="182"/>
      <c r="Q314" s="141">
        <f t="shared" si="99"/>
        <v>0</v>
      </c>
    </row>
    <row r="315" spans="1:24" ht="12.75" thickBot="1">
      <c r="A315" s="201" t="s">
        <v>438</v>
      </c>
      <c r="B315" s="202"/>
      <c r="C315" s="203"/>
      <c r="D315" s="204"/>
      <c r="E315" s="205"/>
      <c r="F315" s="205"/>
      <c r="G315" s="206">
        <f>+B315+C315+D315+E315+F315</f>
        <v>0</v>
      </c>
      <c r="H315" s="969"/>
      <c r="I315" s="201" t="s">
        <v>438</v>
      </c>
      <c r="J315" s="202"/>
      <c r="K315" s="203"/>
      <c r="L315" s="204"/>
      <c r="M315" s="205"/>
      <c r="N315" s="205"/>
      <c r="O315" s="206">
        <f>+J315+K315+L315+M315+N315</f>
        <v>0</v>
      </c>
      <c r="P315" s="182"/>
      <c r="Q315" s="141">
        <f t="shared" si="99"/>
        <v>0</v>
      </c>
      <c r="U315" s="141">
        <f>+D15+E15+F15+L15+M15+N15+D40+E40+F40+L40+M40+N40+N65+M65+L65+F65+E65+D65+D90+E90+F90+L90+M90+N90+N115+M115+L115+F115+E115+D115+D315+E315+F315+L315+M315+N315+D140+E140+F140+L140+M140+N140</f>
        <v>0</v>
      </c>
    </row>
    <row r="316" spans="1:24" ht="12.75" thickBot="1">
      <c r="A316" s="181" t="s">
        <v>439</v>
      </c>
      <c r="B316" s="207">
        <f t="shared" ref="B316:G316" si="100">+B310+B312+B313+B314+B315</f>
        <v>0</v>
      </c>
      <c r="C316" s="208">
        <f t="shared" si="100"/>
        <v>51650</v>
      </c>
      <c r="D316" s="209">
        <f t="shared" si="100"/>
        <v>0</v>
      </c>
      <c r="E316" s="207">
        <f t="shared" si="100"/>
        <v>0</v>
      </c>
      <c r="F316" s="207">
        <f t="shared" si="100"/>
        <v>0</v>
      </c>
      <c r="G316" s="208">
        <f t="shared" si="100"/>
        <v>51650</v>
      </c>
      <c r="H316" s="969"/>
      <c r="I316" s="181" t="s">
        <v>439</v>
      </c>
      <c r="J316" s="207">
        <f t="shared" ref="J316:O316" si="101">+J310+J312+J313+J314+J315</f>
        <v>0</v>
      </c>
      <c r="K316" s="208">
        <f t="shared" si="101"/>
        <v>0</v>
      </c>
      <c r="L316" s="209">
        <f t="shared" si="101"/>
        <v>0</v>
      </c>
      <c r="M316" s="207">
        <f t="shared" si="101"/>
        <v>0</v>
      </c>
      <c r="N316" s="207">
        <f t="shared" si="101"/>
        <v>0</v>
      </c>
      <c r="O316" s="208">
        <f t="shared" si="101"/>
        <v>0</v>
      </c>
      <c r="P316" s="182"/>
      <c r="U316" s="141"/>
    </row>
    <row r="317" spans="1:24" ht="12.75" thickBot="1">
      <c r="A317" s="210"/>
      <c r="B317" s="210"/>
      <c r="C317" s="210"/>
      <c r="D317" s="210"/>
      <c r="E317" s="210"/>
      <c r="F317" s="210"/>
      <c r="G317" s="210"/>
      <c r="H317" s="969"/>
      <c r="I317" s="210"/>
      <c r="J317" s="210"/>
      <c r="K317" s="210"/>
      <c r="L317" s="210"/>
      <c r="M317" s="210"/>
      <c r="N317" s="210"/>
      <c r="O317" s="210"/>
      <c r="P317" s="210"/>
      <c r="Q317" s="141"/>
    </row>
    <row r="318" spans="1:24" s="968" customFormat="1" ht="24.75" thickBot="1">
      <c r="A318" s="414" t="s">
        <v>432</v>
      </c>
      <c r="B318" s="415" t="s">
        <v>1325</v>
      </c>
      <c r="C318" s="188" t="s">
        <v>1317</v>
      </c>
      <c r="D318" s="395" t="s">
        <v>461</v>
      </c>
      <c r="E318" s="396" t="s">
        <v>462</v>
      </c>
      <c r="F318" s="396" t="s">
        <v>1324</v>
      </c>
      <c r="G318" s="1005" t="s">
        <v>18</v>
      </c>
      <c r="H318" s="971"/>
      <c r="I318" s="414" t="s">
        <v>432</v>
      </c>
      <c r="J318" s="415" t="s">
        <v>1325</v>
      </c>
      <c r="K318" s="188" t="s">
        <v>1317</v>
      </c>
      <c r="L318" s="395" t="s">
        <v>461</v>
      </c>
      <c r="M318" s="396" t="s">
        <v>462</v>
      </c>
      <c r="N318" s="396" t="s">
        <v>1324</v>
      </c>
      <c r="O318" s="1005" t="s">
        <v>18</v>
      </c>
      <c r="P318" s="952"/>
    </row>
    <row r="319" spans="1:24">
      <c r="A319" s="189" t="s">
        <v>446</v>
      </c>
      <c r="B319" s="190"/>
      <c r="C319" s="191"/>
      <c r="D319" s="192"/>
      <c r="E319" s="193"/>
      <c r="F319" s="193"/>
      <c r="G319" s="194">
        <f t="shared" ref="G319:G326" si="102">+B319+C319+D319+E319+F319</f>
        <v>0</v>
      </c>
      <c r="H319" s="969"/>
      <c r="I319" s="189" t="s">
        <v>446</v>
      </c>
      <c r="J319" s="190"/>
      <c r="K319" s="191"/>
      <c r="L319" s="192"/>
      <c r="M319" s="193"/>
      <c r="N319" s="193"/>
      <c r="O319" s="194">
        <f t="shared" ref="O319:O326" si="103">+J319+K319+L319+M319+N319</f>
        <v>0</v>
      </c>
      <c r="P319" s="182"/>
      <c r="Q319" s="141">
        <f t="shared" ref="Q319:Q327" si="104">+C19+C44+K19+K44+C69+K69+C94+K94+C119+K119+C144+K144+C319+K319+C169+K169+C194+K194+C219+K219+C244+K244+C269+K269+C294+K294</f>
        <v>0</v>
      </c>
      <c r="R319" s="141">
        <f>+'1.mell._Össz_Mérleg2019'!C111</f>
        <v>0</v>
      </c>
      <c r="S319" s="141">
        <f t="shared" ref="S319:S326" si="105">+Q319-R319</f>
        <v>0</v>
      </c>
    </row>
    <row r="320" spans="1:24">
      <c r="A320" s="211" t="s">
        <v>447</v>
      </c>
      <c r="B320" s="202"/>
      <c r="C320" s="203"/>
      <c r="D320" s="204"/>
      <c r="E320" s="205"/>
      <c r="F320" s="205"/>
      <c r="G320" s="206">
        <f t="shared" si="102"/>
        <v>0</v>
      </c>
      <c r="H320" s="969"/>
      <c r="I320" s="211" t="s">
        <v>447</v>
      </c>
      <c r="J320" s="202"/>
      <c r="K320" s="203"/>
      <c r="L320" s="204"/>
      <c r="M320" s="205"/>
      <c r="N320" s="205"/>
      <c r="O320" s="206">
        <f t="shared" si="103"/>
        <v>0</v>
      </c>
      <c r="P320" s="182"/>
      <c r="Q320" s="141">
        <f t="shared" si="104"/>
        <v>0</v>
      </c>
      <c r="R320" s="141">
        <f>+'1.mell._Össz_Mérleg2019'!C115</f>
        <v>0</v>
      </c>
      <c r="S320" s="141">
        <f t="shared" si="105"/>
        <v>0</v>
      </c>
    </row>
    <row r="321" spans="1:23">
      <c r="A321" s="201" t="s">
        <v>448</v>
      </c>
      <c r="B321" s="202"/>
      <c r="C321" s="203"/>
      <c r="D321" s="204"/>
      <c r="E321" s="205"/>
      <c r="F321" s="205"/>
      <c r="G321" s="206">
        <f t="shared" si="102"/>
        <v>0</v>
      </c>
      <c r="H321" s="969"/>
      <c r="I321" s="201" t="s">
        <v>448</v>
      </c>
      <c r="J321" s="202"/>
      <c r="K321" s="203"/>
      <c r="L321" s="204"/>
      <c r="M321" s="205"/>
      <c r="N321" s="205"/>
      <c r="O321" s="206">
        <f t="shared" si="103"/>
        <v>0</v>
      </c>
      <c r="P321" s="182"/>
      <c r="Q321" s="141">
        <f t="shared" si="104"/>
        <v>0</v>
      </c>
      <c r="R321" s="141">
        <f>+'1.mell._Össz_Mérleg2019'!C117</f>
        <v>0</v>
      </c>
      <c r="S321" s="141">
        <f t="shared" si="105"/>
        <v>0</v>
      </c>
    </row>
    <row r="322" spans="1:23">
      <c r="A322" s="201" t="s">
        <v>449</v>
      </c>
      <c r="B322" s="202"/>
      <c r="C322" s="203"/>
      <c r="D322" s="204"/>
      <c r="E322" s="205"/>
      <c r="F322" s="205"/>
      <c r="G322" s="206">
        <f t="shared" si="102"/>
        <v>0</v>
      </c>
      <c r="H322" s="969"/>
      <c r="I322" s="201" t="s">
        <v>449</v>
      </c>
      <c r="J322" s="202"/>
      <c r="K322" s="203"/>
      <c r="L322" s="204"/>
      <c r="M322" s="205"/>
      <c r="N322" s="205"/>
      <c r="O322" s="206">
        <f t="shared" si="103"/>
        <v>0</v>
      </c>
      <c r="P322" s="182"/>
      <c r="Q322" s="141">
        <f t="shared" si="104"/>
        <v>0</v>
      </c>
      <c r="S322" s="141">
        <f t="shared" si="105"/>
        <v>0</v>
      </c>
    </row>
    <row r="323" spans="1:23">
      <c r="A323" s="212" t="s">
        <v>450</v>
      </c>
      <c r="B323" s="213"/>
      <c r="C323" s="203">
        <v>51650</v>
      </c>
      <c r="D323" s="204"/>
      <c r="E323" s="205"/>
      <c r="F323" s="205"/>
      <c r="G323" s="206">
        <f t="shared" si="102"/>
        <v>51650</v>
      </c>
      <c r="H323" s="969"/>
      <c r="I323" s="212" t="s">
        <v>450</v>
      </c>
      <c r="J323" s="213"/>
      <c r="K323" s="203"/>
      <c r="L323" s="204"/>
      <c r="M323" s="205"/>
      <c r="N323" s="205"/>
      <c r="O323" s="206">
        <f t="shared" si="103"/>
        <v>0</v>
      </c>
      <c r="P323" s="182"/>
      <c r="Q323" s="141">
        <f t="shared" si="104"/>
        <v>2712958</v>
      </c>
      <c r="R323" s="141">
        <f>+'1.mell._Össz_Mérleg2019'!C139</f>
        <v>0</v>
      </c>
      <c r="S323" s="141">
        <f t="shared" si="105"/>
        <v>2712958</v>
      </c>
    </row>
    <row r="324" spans="1:23">
      <c r="A324" s="212" t="s">
        <v>451</v>
      </c>
      <c r="B324" s="213"/>
      <c r="C324" s="203"/>
      <c r="D324" s="204"/>
      <c r="E324" s="205"/>
      <c r="F324" s="205"/>
      <c r="G324" s="206">
        <f t="shared" si="102"/>
        <v>0</v>
      </c>
      <c r="H324" s="969"/>
      <c r="I324" s="212" t="s">
        <v>451</v>
      </c>
      <c r="J324" s="213"/>
      <c r="K324" s="203"/>
      <c r="L324" s="204"/>
      <c r="M324" s="205"/>
      <c r="N324" s="205"/>
      <c r="O324" s="206">
        <f t="shared" si="103"/>
        <v>0</v>
      </c>
      <c r="Q324" s="141">
        <f t="shared" si="104"/>
        <v>0</v>
      </c>
      <c r="R324" s="141">
        <f>+'1.mell._Össz_Mérleg2019'!C151</f>
        <v>0</v>
      </c>
      <c r="S324" s="141">
        <f t="shared" si="105"/>
        <v>0</v>
      </c>
    </row>
    <row r="325" spans="1:23">
      <c r="A325" s="214" t="s">
        <v>452</v>
      </c>
      <c r="B325" s="215"/>
      <c r="C325" s="216"/>
      <c r="D325" s="217"/>
      <c r="E325" s="218"/>
      <c r="F325" s="218"/>
      <c r="G325" s="206">
        <f t="shared" si="102"/>
        <v>0</v>
      </c>
      <c r="H325" s="969"/>
      <c r="I325" s="214" t="s">
        <v>452</v>
      </c>
      <c r="J325" s="215"/>
      <c r="K325" s="216"/>
      <c r="L325" s="217"/>
      <c r="M325" s="218"/>
      <c r="N325" s="218"/>
      <c r="O325" s="206">
        <f t="shared" si="103"/>
        <v>0</v>
      </c>
      <c r="P325" s="182"/>
      <c r="Q325" s="141">
        <f t="shared" si="104"/>
        <v>0</v>
      </c>
      <c r="R325" s="141">
        <f>+'1.mell._Össz_Mérleg2019'!C160</f>
        <v>0</v>
      </c>
      <c r="S325" s="141">
        <f t="shared" si="105"/>
        <v>0</v>
      </c>
    </row>
    <row r="326" spans="1:23" ht="12.75" thickBot="1">
      <c r="A326" s="214" t="s">
        <v>453</v>
      </c>
      <c r="B326" s="215"/>
      <c r="C326" s="216"/>
      <c r="D326" s="217"/>
      <c r="E326" s="218"/>
      <c r="F326" s="218"/>
      <c r="G326" s="206">
        <f t="shared" si="102"/>
        <v>0</v>
      </c>
      <c r="H326" s="969"/>
      <c r="I326" s="214" t="s">
        <v>453</v>
      </c>
      <c r="J326" s="215"/>
      <c r="K326" s="216"/>
      <c r="L326" s="217"/>
      <c r="M326" s="218"/>
      <c r="N326" s="218"/>
      <c r="O326" s="206">
        <f t="shared" si="103"/>
        <v>0</v>
      </c>
      <c r="P326" s="182"/>
      <c r="Q326" s="141">
        <f t="shared" si="104"/>
        <v>0</v>
      </c>
      <c r="R326" s="141">
        <f>+'1.mell._Össz_Mérleg2019'!C170</f>
        <v>0</v>
      </c>
      <c r="S326" s="141">
        <f t="shared" si="105"/>
        <v>0</v>
      </c>
    </row>
    <row r="327" spans="1:23" ht="12.75" thickBot="1">
      <c r="A327" s="181" t="s">
        <v>454</v>
      </c>
      <c r="B327" s="207">
        <f t="shared" ref="B327:G327" si="106">+B319+B320+B321+B322+B323+B324+B325+B326</f>
        <v>0</v>
      </c>
      <c r="C327" s="208">
        <f t="shared" si="106"/>
        <v>51650</v>
      </c>
      <c r="D327" s="209">
        <f t="shared" si="106"/>
        <v>0</v>
      </c>
      <c r="E327" s="207">
        <f t="shared" si="106"/>
        <v>0</v>
      </c>
      <c r="F327" s="207">
        <f t="shared" si="106"/>
        <v>0</v>
      </c>
      <c r="G327" s="208">
        <f t="shared" si="106"/>
        <v>51650</v>
      </c>
      <c r="I327" s="181" t="s">
        <v>454</v>
      </c>
      <c r="J327" s="207">
        <f t="shared" ref="J327:O327" si="107">+J319+J320+J321+J322+J323+J324+J325+J326</f>
        <v>0</v>
      </c>
      <c r="K327" s="208">
        <f t="shared" si="107"/>
        <v>0</v>
      </c>
      <c r="L327" s="209">
        <f t="shared" si="107"/>
        <v>0</v>
      </c>
      <c r="M327" s="207">
        <f t="shared" si="107"/>
        <v>0</v>
      </c>
      <c r="N327" s="207">
        <f t="shared" si="107"/>
        <v>0</v>
      </c>
      <c r="O327" s="208">
        <f t="shared" si="107"/>
        <v>0</v>
      </c>
      <c r="P327" s="182"/>
      <c r="Q327" s="141">
        <f t="shared" si="104"/>
        <v>2712958</v>
      </c>
      <c r="R327" s="969"/>
      <c r="U327" s="141">
        <f>+D27+E27+F27+L27+M27+N27+D52+E52+F52+L52+M52+N52+N77+M77+L77+F77+E77+D77+D102+E102+F102+L102+M102+N102+N127+M127+L127+F127+E127+D127+D327+E327+F327+L327+M327+N327+D152+E152+F152+L152+M152+N152</f>
        <v>0</v>
      </c>
      <c r="V327" s="141">
        <f>+Q327+U327</f>
        <v>2712958</v>
      </c>
      <c r="W327" s="141">
        <f>+V327-W313</f>
        <v>876517</v>
      </c>
    </row>
    <row r="328" spans="1:23">
      <c r="A328" s="182"/>
      <c r="B328" s="182"/>
      <c r="C328" s="182"/>
      <c r="D328" s="182"/>
      <c r="E328" s="182"/>
      <c r="F328" s="182"/>
      <c r="G328" s="182"/>
      <c r="H328" s="969"/>
      <c r="I328" s="182"/>
      <c r="J328" s="182"/>
      <c r="K328" s="182"/>
      <c r="L328" s="182"/>
      <c r="M328" s="182"/>
      <c r="N328" s="182"/>
      <c r="O328" s="182"/>
      <c r="P328" s="182"/>
      <c r="U328" s="141">
        <f>+U327-U312</f>
        <v>0</v>
      </c>
    </row>
    <row r="330" spans="1:23" s="962" customFormat="1" ht="15.75">
      <c r="A330" s="1469" t="s">
        <v>1326</v>
      </c>
      <c r="B330" s="1469"/>
      <c r="C330" s="1469"/>
      <c r="D330" s="1469"/>
      <c r="E330" s="1469"/>
      <c r="F330" s="1469"/>
      <c r="G330" s="1469"/>
      <c r="H330" s="855"/>
      <c r="I330" s="183"/>
      <c r="J330" s="183"/>
      <c r="K330" s="649"/>
      <c r="L330" s="649"/>
      <c r="M330" s="649"/>
      <c r="N330" s="649"/>
      <c r="O330" s="649"/>
      <c r="P330" s="649"/>
    </row>
    <row r="331" spans="1:23" s="965" customFormat="1" ht="12.75" thickBot="1">
      <c r="A331" s="964"/>
      <c r="B331" s="964"/>
      <c r="C331" s="964"/>
      <c r="D331" s="964"/>
      <c r="E331" s="964"/>
      <c r="G331" s="230" t="s">
        <v>281</v>
      </c>
      <c r="H331" s="966"/>
      <c r="I331" s="964"/>
      <c r="J331" s="964"/>
      <c r="K331" s="964"/>
      <c r="L331" s="964"/>
      <c r="M331" s="964"/>
      <c r="N331" s="964"/>
      <c r="O331" s="964"/>
      <c r="P331" s="964"/>
    </row>
    <row r="332" spans="1:23" s="974" customFormat="1" ht="24.75" thickBot="1">
      <c r="A332" s="312" t="s">
        <v>432</v>
      </c>
      <c r="B332" s="1006" t="s">
        <v>1325</v>
      </c>
      <c r="C332" s="188" t="s">
        <v>1317</v>
      </c>
      <c r="D332" s="960" t="s">
        <v>461</v>
      </c>
      <c r="E332" s="961" t="s">
        <v>462</v>
      </c>
      <c r="F332" s="961" t="s">
        <v>1324</v>
      </c>
      <c r="G332" s="910" t="s">
        <v>18</v>
      </c>
      <c r="H332" s="973"/>
      <c r="I332" s="651"/>
      <c r="J332" s="651"/>
      <c r="K332" s="651"/>
      <c r="L332" s="651"/>
      <c r="M332" s="651"/>
      <c r="N332" s="651"/>
      <c r="O332" s="651"/>
      <c r="P332" s="651"/>
    </row>
    <row r="333" spans="1:23">
      <c r="A333" s="954" t="s">
        <v>19</v>
      </c>
      <c r="B333" s="955"/>
      <c r="C333" s="956"/>
      <c r="D333" s="957"/>
      <c r="E333" s="958"/>
      <c r="F333" s="959"/>
      <c r="G333" s="511">
        <f>+B333+C333+D333+E333+F333</f>
        <v>0</v>
      </c>
      <c r="H333" s="969"/>
      <c r="I333" s="975"/>
      <c r="J333" s="975"/>
      <c r="K333" s="975"/>
      <c r="L333" s="975"/>
      <c r="M333" s="975"/>
      <c r="N333" s="975"/>
      <c r="O333" s="975"/>
      <c r="P333" s="975"/>
    </row>
    <row r="334" spans="1:23" ht="12.75" thickBot="1">
      <c r="A334" s="219"/>
      <c r="B334" s="220"/>
      <c r="C334" s="220"/>
      <c r="D334" s="221"/>
      <c r="E334" s="222"/>
      <c r="F334" s="223"/>
      <c r="G334" s="224"/>
      <c r="H334" s="969"/>
      <c r="I334" s="975"/>
      <c r="J334" s="975"/>
      <c r="K334" s="975"/>
      <c r="L334" s="975"/>
      <c r="M334" s="975"/>
      <c r="N334" s="975"/>
      <c r="O334" s="975"/>
      <c r="P334" s="975"/>
    </row>
    <row r="335" spans="1:23" ht="12.75" thickBot="1">
      <c r="A335" s="184" t="s">
        <v>441</v>
      </c>
      <c r="B335" s="225">
        <f>+B333+B334</f>
        <v>0</v>
      </c>
      <c r="C335" s="229">
        <f t="shared" ref="C335:G335" si="108">+C333+C334</f>
        <v>0</v>
      </c>
      <c r="D335" s="226">
        <f t="shared" si="108"/>
        <v>0</v>
      </c>
      <c r="E335" s="227">
        <f t="shared" si="108"/>
        <v>0</v>
      </c>
      <c r="F335" s="228">
        <f t="shared" si="108"/>
        <v>0</v>
      </c>
      <c r="G335" s="229">
        <f t="shared" si="108"/>
        <v>0</v>
      </c>
    </row>
    <row r="337" spans="1:7">
      <c r="A337" s="186"/>
      <c r="B337" s="975"/>
      <c r="C337" s="975"/>
      <c r="D337" s="975"/>
      <c r="E337" s="975"/>
      <c r="F337" s="975"/>
      <c r="G337" s="975"/>
    </row>
  </sheetData>
  <mergeCells count="66">
    <mergeCell ref="A282:G282"/>
    <mergeCell ref="I282:O282"/>
    <mergeCell ref="A206:G206"/>
    <mergeCell ref="I206:O206"/>
    <mergeCell ref="A207:G207"/>
    <mergeCell ref="I207:O207"/>
    <mergeCell ref="A256:G256"/>
    <mergeCell ref="I256:O256"/>
    <mergeCell ref="A257:G257"/>
    <mergeCell ref="I257:O257"/>
    <mergeCell ref="A231:G231"/>
    <mergeCell ref="I231:O231"/>
    <mergeCell ref="A232:G232"/>
    <mergeCell ref="I232:O232"/>
    <mergeCell ref="A281:G281"/>
    <mergeCell ref="I281:O281"/>
    <mergeCell ref="A181:G181"/>
    <mergeCell ref="I181:O181"/>
    <mergeCell ref="A182:G182"/>
    <mergeCell ref="I182:O182"/>
    <mergeCell ref="A156:G156"/>
    <mergeCell ref="I156:O156"/>
    <mergeCell ref="A157:G157"/>
    <mergeCell ref="I157:O157"/>
    <mergeCell ref="A330:G330"/>
    <mergeCell ref="B305:G305"/>
    <mergeCell ref="J305:O305"/>
    <mergeCell ref="A306:G306"/>
    <mergeCell ref="I306:O306"/>
    <mergeCell ref="A307:G307"/>
    <mergeCell ref="I307:O307"/>
    <mergeCell ref="B130:G130"/>
    <mergeCell ref="J130:O130"/>
    <mergeCell ref="A131:G131"/>
    <mergeCell ref="I131:O131"/>
    <mergeCell ref="A132:G132"/>
    <mergeCell ref="I132:O132"/>
    <mergeCell ref="A106:G106"/>
    <mergeCell ref="I106:O106"/>
    <mergeCell ref="A107:G107"/>
    <mergeCell ref="I107:O107"/>
    <mergeCell ref="B80:G80"/>
    <mergeCell ref="J80:O80"/>
    <mergeCell ref="A81:G81"/>
    <mergeCell ref="I81:O81"/>
    <mergeCell ref="A82:G82"/>
    <mergeCell ref="I82:O82"/>
    <mergeCell ref="B55:G55"/>
    <mergeCell ref="J55:O55"/>
    <mergeCell ref="A56:G56"/>
    <mergeCell ref="I56:O56"/>
    <mergeCell ref="A57:G57"/>
    <mergeCell ref="I57:O57"/>
    <mergeCell ref="B30:G30"/>
    <mergeCell ref="J30:O30"/>
    <mergeCell ref="A31:G31"/>
    <mergeCell ref="I31:O31"/>
    <mergeCell ref="A32:G32"/>
    <mergeCell ref="I32:O32"/>
    <mergeCell ref="A7:G7"/>
    <mergeCell ref="I7:O7"/>
    <mergeCell ref="A3:O3"/>
    <mergeCell ref="B5:G5"/>
    <mergeCell ref="J5:O5"/>
    <mergeCell ref="A6:G6"/>
    <mergeCell ref="I6:O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2" fitToHeight="2" orientation="landscape" r:id="rId1"/>
  <headerFooter>
    <oddHeader xml:space="preserve">&amp;C4. melléklet - &amp;P. oldal </oddHeader>
  </headerFooter>
  <rowBreaks count="4" manualBreakCount="4">
    <brk id="79" max="20" man="1"/>
    <brk id="154" max="14" man="1"/>
    <brk id="229" max="14" man="1"/>
    <brk id="30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8">
    <tabColor rgb="FF00B0F0"/>
    <pageSetUpPr fitToPage="1"/>
  </sheetPr>
  <dimension ref="A1:V52"/>
  <sheetViews>
    <sheetView zoomScaleNormal="100" workbookViewId="0"/>
  </sheetViews>
  <sheetFormatPr defaultRowHeight="12"/>
  <cols>
    <col min="1" max="1" width="5" style="174" customWidth="1"/>
    <col min="2" max="2" width="42.5703125" style="174" bestFit="1" customWidth="1"/>
    <col min="3" max="3" width="9.5703125" style="174" customWidth="1"/>
    <col min="4" max="21" width="7.28515625" style="174" bestFit="1" customWidth="1"/>
    <col min="22" max="22" width="10.28515625" style="174" customWidth="1"/>
    <col min="23" max="16384" width="9.140625" style="174"/>
  </cols>
  <sheetData>
    <row r="1" spans="1:22" s="175" customFormat="1" ht="15.7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79" t="s">
        <v>456</v>
      </c>
    </row>
    <row r="2" spans="1:22" s="175" customFormat="1" ht="15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79"/>
    </row>
    <row r="3" spans="1:22" s="175" customFormat="1" ht="15.75">
      <c r="A3" s="1475" t="s">
        <v>457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</row>
    <row r="4" spans="1:22" ht="12.75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234" t="s">
        <v>49</v>
      </c>
    </row>
    <row r="5" spans="1:22" ht="14.25" thickBot="1">
      <c r="A5" s="1476" t="s">
        <v>17</v>
      </c>
      <c r="B5" s="1478" t="s">
        <v>7</v>
      </c>
      <c r="C5" s="1480" t="s">
        <v>478</v>
      </c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2" t="s">
        <v>18</v>
      </c>
    </row>
    <row r="6" spans="1:22" ht="24.75" thickBot="1">
      <c r="A6" s="1477"/>
      <c r="B6" s="1479"/>
      <c r="C6" s="188" t="s">
        <v>1317</v>
      </c>
      <c r="D6" s="233" t="s">
        <v>461</v>
      </c>
      <c r="E6" s="233" t="s">
        <v>462</v>
      </c>
      <c r="F6" s="233" t="s">
        <v>463</v>
      </c>
      <c r="G6" s="233" t="s">
        <v>464</v>
      </c>
      <c r="H6" s="233" t="s">
        <v>465</v>
      </c>
      <c r="I6" s="233" t="s">
        <v>466</v>
      </c>
      <c r="J6" s="233" t="s">
        <v>992</v>
      </c>
      <c r="K6" s="233" t="s">
        <v>1121</v>
      </c>
      <c r="L6" s="233" t="s">
        <v>1153</v>
      </c>
      <c r="M6" s="233" t="s">
        <v>1154</v>
      </c>
      <c r="N6" s="233" t="s">
        <v>1155</v>
      </c>
      <c r="O6" s="233" t="s">
        <v>1156</v>
      </c>
      <c r="P6" s="233" t="s">
        <v>1157</v>
      </c>
      <c r="Q6" s="233" t="s">
        <v>1158</v>
      </c>
      <c r="R6" s="233" t="s">
        <v>1159</v>
      </c>
      <c r="S6" s="233" t="s">
        <v>1160</v>
      </c>
      <c r="T6" s="233" t="s">
        <v>1161</v>
      </c>
      <c r="U6" s="233" t="s">
        <v>1162</v>
      </c>
      <c r="V6" s="1483"/>
    </row>
    <row r="7" spans="1:22" ht="12.75" thickBot="1">
      <c r="A7" s="232">
        <v>1</v>
      </c>
      <c r="B7" s="231">
        <v>2</v>
      </c>
      <c r="C7" s="264">
        <v>3</v>
      </c>
      <c r="D7" s="235">
        <v>4</v>
      </c>
      <c r="E7" s="235">
        <v>5</v>
      </c>
      <c r="F7" s="235">
        <v>6</v>
      </c>
      <c r="G7" s="235">
        <v>7</v>
      </c>
      <c r="H7" s="235">
        <v>8</v>
      </c>
      <c r="I7" s="235">
        <v>10</v>
      </c>
      <c r="J7" s="235">
        <v>11</v>
      </c>
      <c r="K7" s="235">
        <v>12</v>
      </c>
      <c r="L7" s="235">
        <v>13</v>
      </c>
      <c r="M7" s="235">
        <v>14</v>
      </c>
      <c r="N7" s="235">
        <v>15</v>
      </c>
      <c r="O7" s="235">
        <v>16</v>
      </c>
      <c r="P7" s="235">
        <v>17</v>
      </c>
      <c r="Q7" s="235">
        <v>18</v>
      </c>
      <c r="R7" s="235">
        <v>19</v>
      </c>
      <c r="S7" s="235">
        <v>20</v>
      </c>
      <c r="T7" s="235">
        <v>21</v>
      </c>
      <c r="U7" s="235">
        <v>22</v>
      </c>
      <c r="V7" s="236" t="s">
        <v>1195</v>
      </c>
    </row>
    <row r="8" spans="1:22">
      <c r="A8" s="280" t="s">
        <v>4</v>
      </c>
      <c r="B8" s="911" t="s">
        <v>977</v>
      </c>
      <c r="C8" s="265">
        <v>342120</v>
      </c>
      <c r="D8" s="1238">
        <f>+ROUND(C8*1.043,0)</f>
        <v>356831</v>
      </c>
      <c r="E8" s="1238">
        <f>+ROUND(D8*1.041,0)</f>
        <v>371461</v>
      </c>
      <c r="F8" s="1238">
        <f>+ROUND(E8*1.039,0)</f>
        <v>385948</v>
      </c>
      <c r="G8" s="238">
        <f t="shared" ref="G8:U13" si="0">+F8</f>
        <v>385948</v>
      </c>
      <c r="H8" s="238">
        <f t="shared" ref="H8:I13" si="1">+G8</f>
        <v>385948</v>
      </c>
      <c r="I8" s="238">
        <f t="shared" si="1"/>
        <v>385948</v>
      </c>
      <c r="J8" s="238">
        <f t="shared" si="0"/>
        <v>385948</v>
      </c>
      <c r="K8" s="238">
        <f t="shared" si="0"/>
        <v>385948</v>
      </c>
      <c r="L8" s="238">
        <f t="shared" si="0"/>
        <v>385948</v>
      </c>
      <c r="M8" s="238">
        <f t="shared" si="0"/>
        <v>385948</v>
      </c>
      <c r="N8" s="238">
        <f t="shared" si="0"/>
        <v>385948</v>
      </c>
      <c r="O8" s="238">
        <f t="shared" si="0"/>
        <v>385948</v>
      </c>
      <c r="P8" s="238">
        <f t="shared" si="0"/>
        <v>385948</v>
      </c>
      <c r="Q8" s="238">
        <f t="shared" si="0"/>
        <v>385948</v>
      </c>
      <c r="R8" s="238">
        <f t="shared" si="0"/>
        <v>385948</v>
      </c>
      <c r="S8" s="238">
        <f t="shared" si="0"/>
        <v>385948</v>
      </c>
      <c r="T8" s="238">
        <f t="shared" si="0"/>
        <v>385948</v>
      </c>
      <c r="U8" s="238">
        <f t="shared" si="0"/>
        <v>385948</v>
      </c>
      <c r="V8" s="239">
        <f t="shared" ref="V8:V13" si="2">SUM(C8:U8)</f>
        <v>7245580</v>
      </c>
    </row>
    <row r="9" spans="1:22" ht="36">
      <c r="A9" s="281" t="s">
        <v>5</v>
      </c>
      <c r="B9" s="240" t="s">
        <v>851</v>
      </c>
      <c r="C9" s="266">
        <v>236</v>
      </c>
      <c r="D9" s="241">
        <f>+C9</f>
        <v>236</v>
      </c>
      <c r="E9" s="241">
        <f>+D9</f>
        <v>236</v>
      </c>
      <c r="F9" s="238">
        <f t="shared" ref="F9:F10" si="3">+E9</f>
        <v>236</v>
      </c>
      <c r="G9" s="238">
        <f t="shared" si="0"/>
        <v>236</v>
      </c>
      <c r="H9" s="238">
        <f t="shared" si="1"/>
        <v>236</v>
      </c>
      <c r="I9" s="238">
        <f t="shared" si="1"/>
        <v>236</v>
      </c>
      <c r="J9" s="238">
        <f t="shared" si="0"/>
        <v>236</v>
      </c>
      <c r="K9" s="238">
        <f t="shared" si="0"/>
        <v>236</v>
      </c>
      <c r="L9" s="238">
        <f t="shared" si="0"/>
        <v>236</v>
      </c>
      <c r="M9" s="238">
        <f t="shared" si="0"/>
        <v>236</v>
      </c>
      <c r="N9" s="238">
        <f t="shared" si="0"/>
        <v>236</v>
      </c>
      <c r="O9" s="238">
        <f t="shared" si="0"/>
        <v>236</v>
      </c>
      <c r="P9" s="238">
        <f t="shared" si="0"/>
        <v>236</v>
      </c>
      <c r="Q9" s="238">
        <f t="shared" si="0"/>
        <v>236</v>
      </c>
      <c r="R9" s="238">
        <f t="shared" si="0"/>
        <v>236</v>
      </c>
      <c r="S9" s="238">
        <f t="shared" si="0"/>
        <v>236</v>
      </c>
      <c r="T9" s="238">
        <f t="shared" si="0"/>
        <v>236</v>
      </c>
      <c r="U9" s="238">
        <f t="shared" si="0"/>
        <v>236</v>
      </c>
      <c r="V9" s="242">
        <f t="shared" si="2"/>
        <v>4484</v>
      </c>
    </row>
    <row r="10" spans="1:22">
      <c r="A10" s="281" t="s">
        <v>6</v>
      </c>
      <c r="B10" s="240" t="s">
        <v>852</v>
      </c>
      <c r="C10" s="266"/>
      <c r="D10" s="241"/>
      <c r="E10" s="241"/>
      <c r="F10" s="238">
        <f t="shared" si="3"/>
        <v>0</v>
      </c>
      <c r="G10" s="238">
        <f t="shared" si="0"/>
        <v>0</v>
      </c>
      <c r="H10" s="238">
        <f t="shared" si="1"/>
        <v>0</v>
      </c>
      <c r="I10" s="238">
        <f t="shared" si="1"/>
        <v>0</v>
      </c>
      <c r="J10" s="238">
        <f t="shared" si="0"/>
        <v>0</v>
      </c>
      <c r="K10" s="238">
        <f t="shared" si="0"/>
        <v>0</v>
      </c>
      <c r="L10" s="238">
        <f t="shared" si="0"/>
        <v>0</v>
      </c>
      <c r="M10" s="238">
        <f t="shared" si="0"/>
        <v>0</v>
      </c>
      <c r="N10" s="238">
        <f t="shared" si="0"/>
        <v>0</v>
      </c>
      <c r="O10" s="238">
        <f t="shared" si="0"/>
        <v>0</v>
      </c>
      <c r="P10" s="238">
        <f t="shared" si="0"/>
        <v>0</v>
      </c>
      <c r="Q10" s="238">
        <f t="shared" si="0"/>
        <v>0</v>
      </c>
      <c r="R10" s="238">
        <f t="shared" si="0"/>
        <v>0</v>
      </c>
      <c r="S10" s="238">
        <f t="shared" si="0"/>
        <v>0</v>
      </c>
      <c r="T10" s="238">
        <f t="shared" si="0"/>
        <v>0</v>
      </c>
      <c r="U10" s="238">
        <f t="shared" si="0"/>
        <v>0</v>
      </c>
      <c r="V10" s="242">
        <f t="shared" si="2"/>
        <v>0</v>
      </c>
    </row>
    <row r="11" spans="1:22" ht="36">
      <c r="A11" s="281" t="s">
        <v>3</v>
      </c>
      <c r="B11" s="240" t="s">
        <v>853</v>
      </c>
      <c r="C11" s="266">
        <v>10350</v>
      </c>
      <c r="D11" s="1239">
        <v>350</v>
      </c>
      <c r="E11" s="1239">
        <v>350</v>
      </c>
      <c r="F11" s="1239">
        <v>350</v>
      </c>
      <c r="G11" s="238">
        <f t="shared" si="0"/>
        <v>350</v>
      </c>
      <c r="H11" s="238">
        <f t="shared" si="1"/>
        <v>350</v>
      </c>
      <c r="I11" s="238">
        <f t="shared" si="1"/>
        <v>350</v>
      </c>
      <c r="J11" s="238">
        <f t="shared" si="0"/>
        <v>350</v>
      </c>
      <c r="K11" s="238">
        <f t="shared" si="0"/>
        <v>350</v>
      </c>
      <c r="L11" s="238">
        <f t="shared" si="0"/>
        <v>350</v>
      </c>
      <c r="M11" s="238">
        <f t="shared" si="0"/>
        <v>350</v>
      </c>
      <c r="N11" s="238">
        <f t="shared" si="0"/>
        <v>350</v>
      </c>
      <c r="O11" s="238">
        <f t="shared" si="0"/>
        <v>350</v>
      </c>
      <c r="P11" s="238">
        <f t="shared" si="0"/>
        <v>350</v>
      </c>
      <c r="Q11" s="238">
        <f t="shared" si="0"/>
        <v>350</v>
      </c>
      <c r="R11" s="238">
        <f t="shared" si="0"/>
        <v>350</v>
      </c>
      <c r="S11" s="238">
        <f t="shared" si="0"/>
        <v>350</v>
      </c>
      <c r="T11" s="238">
        <f t="shared" si="0"/>
        <v>350</v>
      </c>
      <c r="U11" s="238">
        <f t="shared" si="0"/>
        <v>350</v>
      </c>
      <c r="V11" s="242">
        <f t="shared" si="2"/>
        <v>16650</v>
      </c>
    </row>
    <row r="12" spans="1:22" ht="12.75">
      <c r="A12" s="281" t="s">
        <v>16</v>
      </c>
      <c r="B12" s="719" t="s">
        <v>854</v>
      </c>
      <c r="C12" s="1237">
        <v>15370</v>
      </c>
      <c r="D12" s="1240">
        <v>7800</v>
      </c>
      <c r="E12" s="1240">
        <f>+D12</f>
        <v>7800</v>
      </c>
      <c r="F12" s="238">
        <f>+E12</f>
        <v>7800</v>
      </c>
      <c r="G12" s="238">
        <f t="shared" si="0"/>
        <v>7800</v>
      </c>
      <c r="H12" s="238">
        <f t="shared" si="1"/>
        <v>7800</v>
      </c>
      <c r="I12" s="238">
        <f t="shared" si="1"/>
        <v>7800</v>
      </c>
      <c r="J12" s="238">
        <f t="shared" si="0"/>
        <v>7800</v>
      </c>
      <c r="K12" s="238">
        <f t="shared" si="0"/>
        <v>7800</v>
      </c>
      <c r="L12" s="238">
        <f t="shared" si="0"/>
        <v>7800</v>
      </c>
      <c r="M12" s="238">
        <f t="shared" si="0"/>
        <v>7800</v>
      </c>
      <c r="N12" s="238">
        <f t="shared" si="0"/>
        <v>7800</v>
      </c>
      <c r="O12" s="238">
        <f t="shared" si="0"/>
        <v>7800</v>
      </c>
      <c r="P12" s="238">
        <f t="shared" si="0"/>
        <v>7800</v>
      </c>
      <c r="Q12" s="238">
        <f t="shared" si="0"/>
        <v>7800</v>
      </c>
      <c r="R12" s="238">
        <f t="shared" si="0"/>
        <v>7800</v>
      </c>
      <c r="S12" s="238">
        <f t="shared" si="0"/>
        <v>7800</v>
      </c>
      <c r="T12" s="238">
        <f t="shared" si="0"/>
        <v>7800</v>
      </c>
      <c r="U12" s="238">
        <f t="shared" si="0"/>
        <v>7800</v>
      </c>
      <c r="V12" s="242">
        <f t="shared" si="2"/>
        <v>155770</v>
      </c>
    </row>
    <row r="13" spans="1:22" ht="24.75" thickBot="1">
      <c r="A13" s="282" t="s">
        <v>15</v>
      </c>
      <c r="B13" s="243" t="s">
        <v>978</v>
      </c>
      <c r="C13" s="267"/>
      <c r="D13" s="244"/>
      <c r="E13" s="244"/>
      <c r="F13" s="285"/>
      <c r="G13" s="285">
        <f t="shared" si="0"/>
        <v>0</v>
      </c>
      <c r="H13" s="285">
        <f t="shared" si="1"/>
        <v>0</v>
      </c>
      <c r="I13" s="285">
        <f t="shared" si="1"/>
        <v>0</v>
      </c>
      <c r="J13" s="285">
        <f t="shared" si="0"/>
        <v>0</v>
      </c>
      <c r="K13" s="285">
        <f t="shared" si="0"/>
        <v>0</v>
      </c>
      <c r="L13" s="285">
        <f t="shared" si="0"/>
        <v>0</v>
      </c>
      <c r="M13" s="285">
        <f t="shared" si="0"/>
        <v>0</v>
      </c>
      <c r="N13" s="285">
        <f t="shared" si="0"/>
        <v>0</v>
      </c>
      <c r="O13" s="285">
        <f t="shared" si="0"/>
        <v>0</v>
      </c>
      <c r="P13" s="285">
        <f t="shared" si="0"/>
        <v>0</v>
      </c>
      <c r="Q13" s="285">
        <f t="shared" si="0"/>
        <v>0</v>
      </c>
      <c r="R13" s="285">
        <f t="shared" si="0"/>
        <v>0</v>
      </c>
      <c r="S13" s="285">
        <f t="shared" si="0"/>
        <v>0</v>
      </c>
      <c r="T13" s="285">
        <f t="shared" si="0"/>
        <v>0</v>
      </c>
      <c r="U13" s="285">
        <f t="shared" si="0"/>
        <v>0</v>
      </c>
      <c r="V13" s="245">
        <f t="shared" si="2"/>
        <v>0</v>
      </c>
    </row>
    <row r="14" spans="1:22" ht="15" thickBot="1">
      <c r="A14" s="283" t="s">
        <v>14</v>
      </c>
      <c r="B14" s="246" t="s">
        <v>855</v>
      </c>
      <c r="C14" s="249">
        <f>+C8+C9+C12+C11+C10+C13</f>
        <v>368076</v>
      </c>
      <c r="D14" s="948">
        <f>+D8+D9+D12+D11+D10+D13</f>
        <v>365217</v>
      </c>
      <c r="E14" s="247">
        <f t="shared" ref="E14:V14" si="4">+E8+E9+E12+E11+E10+E13</f>
        <v>379847</v>
      </c>
      <c r="F14" s="247">
        <f t="shared" si="4"/>
        <v>394334</v>
      </c>
      <c r="G14" s="247">
        <f t="shared" si="4"/>
        <v>394334</v>
      </c>
      <c r="H14" s="247">
        <f t="shared" si="4"/>
        <v>394334</v>
      </c>
      <c r="I14" s="247">
        <f t="shared" si="4"/>
        <v>394334</v>
      </c>
      <c r="J14" s="247">
        <f>+J8+J9+J12+J11+J10+J13</f>
        <v>394334</v>
      </c>
      <c r="K14" s="247">
        <f>+K8+K9+K12+K11+K10+K13</f>
        <v>394334</v>
      </c>
      <c r="L14" s="247">
        <f t="shared" si="4"/>
        <v>394334</v>
      </c>
      <c r="M14" s="247">
        <f>+M8+M9+M12+M11+M10+M13</f>
        <v>394334</v>
      </c>
      <c r="N14" s="247">
        <f>+N8+N9+N12+N11+N10+N13</f>
        <v>394334</v>
      </c>
      <c r="O14" s="247">
        <f t="shared" si="4"/>
        <v>394334</v>
      </c>
      <c r="P14" s="247">
        <f>+P8+P9+P12+P11+P10+P13</f>
        <v>394334</v>
      </c>
      <c r="Q14" s="247">
        <f>+Q8+Q9+Q12+Q11+Q10+Q13</f>
        <v>394334</v>
      </c>
      <c r="R14" s="247">
        <f>+R8+R9+R12+R11+R10+R13</f>
        <v>394334</v>
      </c>
      <c r="S14" s="247">
        <f>+S8+S9+S12+S11+S10+S13</f>
        <v>394334</v>
      </c>
      <c r="T14" s="247">
        <f t="shared" si="4"/>
        <v>394334</v>
      </c>
      <c r="U14" s="874">
        <f t="shared" si="4"/>
        <v>394334</v>
      </c>
      <c r="V14" s="249">
        <f t="shared" si="4"/>
        <v>7422484</v>
      </c>
    </row>
    <row r="15" spans="1:22" ht="15" thickBot="1">
      <c r="A15" s="283" t="s">
        <v>13</v>
      </c>
      <c r="B15" s="246" t="s">
        <v>856</v>
      </c>
      <c r="C15" s="249">
        <f>+ROUNDDOWN(C14*0.5,0)</f>
        <v>184038</v>
      </c>
      <c r="D15" s="252">
        <f t="shared" ref="D15:V15" si="5">+ROUNDDOWN(D14*0.5,0)</f>
        <v>182608</v>
      </c>
      <c r="E15" s="252">
        <f t="shared" si="5"/>
        <v>189923</v>
      </c>
      <c r="F15" s="252">
        <f t="shared" si="5"/>
        <v>197167</v>
      </c>
      <c r="G15" s="252">
        <f t="shared" si="5"/>
        <v>197167</v>
      </c>
      <c r="H15" s="252">
        <f t="shared" si="5"/>
        <v>197167</v>
      </c>
      <c r="I15" s="252">
        <f t="shared" si="5"/>
        <v>197167</v>
      </c>
      <c r="J15" s="252">
        <f>+ROUNDDOWN(J14*0.5,0)</f>
        <v>197167</v>
      </c>
      <c r="K15" s="252">
        <f>+ROUNDDOWN(K14*0.5,0)</f>
        <v>197167</v>
      </c>
      <c r="L15" s="252">
        <f t="shared" si="5"/>
        <v>197167</v>
      </c>
      <c r="M15" s="252">
        <f>+ROUNDDOWN(M14*0.5,0)</f>
        <v>197167</v>
      </c>
      <c r="N15" s="252">
        <f>+ROUNDDOWN(N14*0.5,0)</f>
        <v>197167</v>
      </c>
      <c r="O15" s="252">
        <f t="shared" si="5"/>
        <v>197167</v>
      </c>
      <c r="P15" s="252">
        <f>+ROUNDDOWN(P14*0.5,0)</f>
        <v>197167</v>
      </c>
      <c r="Q15" s="252">
        <f>+ROUNDDOWN(Q14*0.5,0)</f>
        <v>197167</v>
      </c>
      <c r="R15" s="252">
        <f>+ROUNDDOWN(R14*0.5,0)</f>
        <v>197167</v>
      </c>
      <c r="S15" s="252">
        <f>+ROUNDDOWN(S14*0.5,0)</f>
        <v>197167</v>
      </c>
      <c r="T15" s="252">
        <f t="shared" si="5"/>
        <v>197167</v>
      </c>
      <c r="U15" s="252">
        <f t="shared" si="5"/>
        <v>197167</v>
      </c>
      <c r="V15" s="249">
        <f t="shared" si="5"/>
        <v>3711242</v>
      </c>
    </row>
    <row r="16" spans="1:22" ht="27" thickBot="1">
      <c r="A16" s="283" t="s">
        <v>12</v>
      </c>
      <c r="B16" s="246" t="s">
        <v>862</v>
      </c>
      <c r="C16" s="249">
        <f t="shared" ref="C16:V16" si="6">+C17+C18+C19+C20+C21+C22+C23+C24+C25</f>
        <v>27105</v>
      </c>
      <c r="D16" s="248">
        <f t="shared" si="6"/>
        <v>28307</v>
      </c>
      <c r="E16" s="248">
        <f t="shared" si="6"/>
        <v>28308</v>
      </c>
      <c r="F16" s="248">
        <f t="shared" si="6"/>
        <v>2000</v>
      </c>
      <c r="G16" s="248">
        <f t="shared" si="6"/>
        <v>2000</v>
      </c>
      <c r="H16" s="248">
        <f t="shared" si="6"/>
        <v>2000</v>
      </c>
      <c r="I16" s="248">
        <f t="shared" si="6"/>
        <v>2000</v>
      </c>
      <c r="J16" s="248">
        <f>+J17+J18+J19+J20+J21+J22+J23+J24+J25</f>
        <v>2000</v>
      </c>
      <c r="K16" s="248">
        <f>+K17+K18+K19+K20+K21+K22+K23+K24+K25</f>
        <v>2000</v>
      </c>
      <c r="L16" s="248">
        <f t="shared" si="6"/>
        <v>2000</v>
      </c>
      <c r="M16" s="248">
        <f>+M17+M18+M19+M20+M21+M22+M23+M24+M25</f>
        <v>2000</v>
      </c>
      <c r="N16" s="248">
        <f>+N17+N18+N19+N20+N21+N22+N23+N24+N25</f>
        <v>2000</v>
      </c>
      <c r="O16" s="248">
        <f t="shared" si="6"/>
        <v>2000</v>
      </c>
      <c r="P16" s="248">
        <f>+P17+P18+P19+P20+P21+P22+P23+P24+P25</f>
        <v>2000</v>
      </c>
      <c r="Q16" s="248">
        <f>+Q17+Q18+Q19+Q20+Q21+Q22+Q23+Q24+Q25</f>
        <v>2000</v>
      </c>
      <c r="R16" s="248">
        <f>+R17+R18+R19+R20+R21+R22+R23+R24+R25</f>
        <v>2000</v>
      </c>
      <c r="S16" s="248">
        <f>+S17+S18+S19+S20+S21+S22+S23+S24+S25</f>
        <v>2000</v>
      </c>
      <c r="T16" s="248">
        <f t="shared" si="6"/>
        <v>2000</v>
      </c>
      <c r="U16" s="248">
        <f t="shared" si="6"/>
        <v>3525</v>
      </c>
      <c r="V16" s="249">
        <f t="shared" si="6"/>
        <v>117245</v>
      </c>
    </row>
    <row r="17" spans="1:22">
      <c r="A17" s="280" t="s">
        <v>11</v>
      </c>
      <c r="B17" s="237" t="s">
        <v>467</v>
      </c>
      <c r="C17" s="265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42">
        <f t="shared" ref="V17:V25" si="7">SUM(C17:U17)</f>
        <v>0</v>
      </c>
    </row>
    <row r="18" spans="1:22">
      <c r="A18" s="281" t="s">
        <v>10</v>
      </c>
      <c r="B18" s="240" t="s">
        <v>468</v>
      </c>
      <c r="C18" s="266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2">
        <f t="shared" si="7"/>
        <v>0</v>
      </c>
    </row>
    <row r="19" spans="1:22">
      <c r="A19" s="281" t="s">
        <v>9</v>
      </c>
      <c r="B19" s="240" t="s">
        <v>469</v>
      </c>
      <c r="C19" s="266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2">
        <f t="shared" si="7"/>
        <v>0</v>
      </c>
    </row>
    <row r="20" spans="1:22">
      <c r="A20" s="281" t="s">
        <v>45</v>
      </c>
      <c r="B20" s="240" t="s">
        <v>470</v>
      </c>
      <c r="C20" s="266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2">
        <f t="shared" si="7"/>
        <v>0</v>
      </c>
    </row>
    <row r="21" spans="1:22">
      <c r="A21" s="281" t="s">
        <v>44</v>
      </c>
      <c r="B21" s="240" t="s">
        <v>471</v>
      </c>
      <c r="C21" s="266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2">
        <f t="shared" si="7"/>
        <v>0</v>
      </c>
    </row>
    <row r="22" spans="1:22" ht="36">
      <c r="A22" s="281" t="s">
        <v>43</v>
      </c>
      <c r="B22" s="240" t="s">
        <v>860</v>
      </c>
      <c r="C22" s="266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2">
        <f t="shared" si="7"/>
        <v>0</v>
      </c>
    </row>
    <row r="23" spans="1:22">
      <c r="A23" s="281" t="s">
        <v>40</v>
      </c>
      <c r="B23" s="240" t="s">
        <v>859</v>
      </c>
      <c r="C23" s="266">
        <f>2000+3000+8900+13205</f>
        <v>27105</v>
      </c>
      <c r="D23" s="241">
        <f>2000+19807+6500</f>
        <v>28307</v>
      </c>
      <c r="E23" s="241">
        <f>2000+19808+6500</f>
        <v>28308</v>
      </c>
      <c r="F23" s="241">
        <v>2000</v>
      </c>
      <c r="G23" s="241">
        <v>2000</v>
      </c>
      <c r="H23" s="241">
        <v>2000</v>
      </c>
      <c r="I23" s="241">
        <v>2000</v>
      </c>
      <c r="J23" s="241">
        <v>2000</v>
      </c>
      <c r="K23" s="241">
        <v>2000</v>
      </c>
      <c r="L23" s="241">
        <v>2000</v>
      </c>
      <c r="M23" s="241">
        <v>2000</v>
      </c>
      <c r="N23" s="241">
        <v>2000</v>
      </c>
      <c r="O23" s="241">
        <v>2000</v>
      </c>
      <c r="P23" s="241">
        <v>2000</v>
      </c>
      <c r="Q23" s="241">
        <v>2000</v>
      </c>
      <c r="R23" s="241">
        <v>2000</v>
      </c>
      <c r="S23" s="241">
        <v>2000</v>
      </c>
      <c r="T23" s="241">
        <v>2000</v>
      </c>
      <c r="U23" s="241">
        <v>3525</v>
      </c>
      <c r="V23" s="242">
        <f t="shared" si="7"/>
        <v>117245</v>
      </c>
    </row>
    <row r="24" spans="1:22" ht="36">
      <c r="A24" s="281" t="s">
        <v>39</v>
      </c>
      <c r="B24" s="250" t="s">
        <v>861</v>
      </c>
      <c r="C24" s="266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2">
        <f t="shared" si="7"/>
        <v>0</v>
      </c>
    </row>
    <row r="25" spans="1:22" ht="24.75" thickBot="1">
      <c r="A25" s="281" t="s">
        <v>38</v>
      </c>
      <c r="B25" s="250" t="s">
        <v>979</v>
      </c>
      <c r="C25" s="266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2">
        <f t="shared" si="7"/>
        <v>0</v>
      </c>
    </row>
    <row r="26" spans="1:22" ht="27" thickBot="1">
      <c r="A26" s="283" t="s">
        <v>36</v>
      </c>
      <c r="B26" s="246" t="s">
        <v>863</v>
      </c>
      <c r="C26" s="249">
        <f>+C27+C28+C29+C30+C31+C32+C33+C34+C35</f>
        <v>0</v>
      </c>
      <c r="D26" s="248">
        <f t="shared" ref="D26:V26" si="8">+D27+D28+D29+D30+D31+D32+D33+D34+D35</f>
        <v>9999</v>
      </c>
      <c r="E26" s="248">
        <f t="shared" si="8"/>
        <v>0</v>
      </c>
      <c r="F26" s="248">
        <f t="shared" si="8"/>
        <v>0</v>
      </c>
      <c r="G26" s="248">
        <f t="shared" si="8"/>
        <v>0</v>
      </c>
      <c r="H26" s="248">
        <f t="shared" si="8"/>
        <v>0</v>
      </c>
      <c r="I26" s="248">
        <f t="shared" si="8"/>
        <v>0</v>
      </c>
      <c r="J26" s="248">
        <f>+J27+J28+J29+J30+J31+J32+J33+J34+J35</f>
        <v>0</v>
      </c>
      <c r="K26" s="248">
        <f>+K27+K28+K29+K30+K31+K32+K33+K34+K35</f>
        <v>0</v>
      </c>
      <c r="L26" s="248">
        <f t="shared" si="8"/>
        <v>0</v>
      </c>
      <c r="M26" s="248">
        <f>+M27+M28+M29+M30+M31+M32+M33+M34+M35</f>
        <v>0</v>
      </c>
      <c r="N26" s="248">
        <f>+N27+N28+N29+N30+N31+N32+N33+N34+N35</f>
        <v>0</v>
      </c>
      <c r="O26" s="248">
        <f t="shared" si="8"/>
        <v>0</v>
      </c>
      <c r="P26" s="248">
        <f>+P27+P28+P29+P30+P31+P32+P33+P34+P35</f>
        <v>0</v>
      </c>
      <c r="Q26" s="248">
        <f>+Q27+Q28+Q29+Q30+Q31+Q32+Q33+Q34+Q35</f>
        <v>0</v>
      </c>
      <c r="R26" s="248">
        <f>+R27+R28+R29+R30+R31+R32+R33+R34+R35</f>
        <v>0</v>
      </c>
      <c r="S26" s="248">
        <f>+S27+S28+S29+S30+S31+S32+S33+S34+S35</f>
        <v>0</v>
      </c>
      <c r="T26" s="248">
        <f t="shared" si="8"/>
        <v>0</v>
      </c>
      <c r="U26" s="248">
        <f t="shared" si="8"/>
        <v>0</v>
      </c>
      <c r="V26" s="249">
        <f t="shared" si="8"/>
        <v>9999</v>
      </c>
    </row>
    <row r="27" spans="1:22">
      <c r="A27" s="280" t="s">
        <v>35</v>
      </c>
      <c r="B27" s="237" t="s">
        <v>467</v>
      </c>
      <c r="C27" s="265"/>
      <c r="D27" s="238">
        <v>9999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42">
        <f t="shared" ref="V27:V35" si="9">SUM(C27:U27)</f>
        <v>9999</v>
      </c>
    </row>
    <row r="28" spans="1:22">
      <c r="A28" s="281" t="s">
        <v>34</v>
      </c>
      <c r="B28" s="240" t="s">
        <v>468</v>
      </c>
      <c r="C28" s="266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2">
        <f t="shared" si="9"/>
        <v>0</v>
      </c>
    </row>
    <row r="29" spans="1:22">
      <c r="A29" s="281" t="s">
        <v>33</v>
      </c>
      <c r="B29" s="240" t="s">
        <v>469</v>
      </c>
      <c r="C29" s="266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2">
        <f t="shared" si="9"/>
        <v>0</v>
      </c>
    </row>
    <row r="30" spans="1:22">
      <c r="A30" s="281" t="s">
        <v>32</v>
      </c>
      <c r="B30" s="240" t="s">
        <v>470</v>
      </c>
      <c r="C30" s="266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>
        <f t="shared" si="9"/>
        <v>0</v>
      </c>
    </row>
    <row r="31" spans="1:22">
      <c r="A31" s="281" t="s">
        <v>472</v>
      </c>
      <c r="B31" s="240" t="s">
        <v>471</v>
      </c>
      <c r="C31" s="266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>
        <f t="shared" si="9"/>
        <v>0</v>
      </c>
    </row>
    <row r="32" spans="1:22" ht="36">
      <c r="A32" s="281" t="s">
        <v>473</v>
      </c>
      <c r="B32" s="240" t="s">
        <v>860</v>
      </c>
      <c r="C32" s="266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2">
        <f t="shared" si="9"/>
        <v>0</v>
      </c>
    </row>
    <row r="33" spans="1:22">
      <c r="A33" s="281" t="s">
        <v>474</v>
      </c>
      <c r="B33" s="240" t="s">
        <v>859</v>
      </c>
      <c r="C33" s="266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2">
        <f t="shared" si="9"/>
        <v>0</v>
      </c>
    </row>
    <row r="34" spans="1:22" ht="36">
      <c r="A34" s="281" t="s">
        <v>475</v>
      </c>
      <c r="B34" s="250" t="s">
        <v>861</v>
      </c>
      <c r="C34" s="266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2">
        <f t="shared" si="9"/>
        <v>0</v>
      </c>
    </row>
    <row r="35" spans="1:22" ht="24.75" thickBot="1">
      <c r="A35" s="281" t="s">
        <v>488</v>
      </c>
      <c r="B35" s="250" t="s">
        <v>979</v>
      </c>
      <c r="C35" s="267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5">
        <f t="shared" si="9"/>
        <v>0</v>
      </c>
    </row>
    <row r="36" spans="1:22" ht="12.75" thickBot="1">
      <c r="A36" s="283" t="s">
        <v>489</v>
      </c>
      <c r="B36" s="246" t="s">
        <v>864</v>
      </c>
      <c r="C36" s="249">
        <f t="shared" ref="C36:V36" si="10">+C16+C26</f>
        <v>27105</v>
      </c>
      <c r="D36" s="248">
        <f t="shared" si="10"/>
        <v>38306</v>
      </c>
      <c r="E36" s="248">
        <f t="shared" si="10"/>
        <v>28308</v>
      </c>
      <c r="F36" s="248">
        <f t="shared" si="10"/>
        <v>2000</v>
      </c>
      <c r="G36" s="248">
        <f t="shared" si="10"/>
        <v>2000</v>
      </c>
      <c r="H36" s="248">
        <f t="shared" si="10"/>
        <v>2000</v>
      </c>
      <c r="I36" s="248">
        <f t="shared" si="10"/>
        <v>2000</v>
      </c>
      <c r="J36" s="248">
        <f>+J16+J26</f>
        <v>2000</v>
      </c>
      <c r="K36" s="248">
        <f>+K16+K26</f>
        <v>2000</v>
      </c>
      <c r="L36" s="248">
        <f t="shared" si="10"/>
        <v>2000</v>
      </c>
      <c r="M36" s="248">
        <f>+M16+M26</f>
        <v>2000</v>
      </c>
      <c r="N36" s="248">
        <f>+N16+N26</f>
        <v>2000</v>
      </c>
      <c r="O36" s="248">
        <f t="shared" si="10"/>
        <v>2000</v>
      </c>
      <c r="P36" s="248">
        <f>+P16+P26</f>
        <v>2000</v>
      </c>
      <c r="Q36" s="248">
        <f>+Q16+Q26</f>
        <v>2000</v>
      </c>
      <c r="R36" s="248">
        <f>+R16+R26</f>
        <v>2000</v>
      </c>
      <c r="S36" s="248">
        <f>+S16+S26</f>
        <v>2000</v>
      </c>
      <c r="T36" s="248">
        <f t="shared" si="10"/>
        <v>2000</v>
      </c>
      <c r="U36" s="248">
        <f t="shared" si="10"/>
        <v>3525</v>
      </c>
      <c r="V36" s="249">
        <f t="shared" si="10"/>
        <v>127244</v>
      </c>
    </row>
    <row r="37" spans="1:22" ht="24.75" thickBot="1">
      <c r="A37" s="284" t="s">
        <v>490</v>
      </c>
      <c r="B37" s="251" t="s">
        <v>865</v>
      </c>
      <c r="C37" s="253">
        <f t="shared" ref="C37:V37" si="11">+C15-C36</f>
        <v>156933</v>
      </c>
      <c r="D37" s="252">
        <f t="shared" si="11"/>
        <v>144302</v>
      </c>
      <c r="E37" s="252">
        <f t="shared" si="11"/>
        <v>161615</v>
      </c>
      <c r="F37" s="252">
        <f t="shared" si="11"/>
        <v>195167</v>
      </c>
      <c r="G37" s="252">
        <f t="shared" si="11"/>
        <v>195167</v>
      </c>
      <c r="H37" s="252">
        <f t="shared" si="11"/>
        <v>195167</v>
      </c>
      <c r="I37" s="252">
        <f t="shared" si="11"/>
        <v>195167</v>
      </c>
      <c r="J37" s="252">
        <f>+J15-J36</f>
        <v>195167</v>
      </c>
      <c r="K37" s="252">
        <f>+K15-K36</f>
        <v>195167</v>
      </c>
      <c r="L37" s="252">
        <f t="shared" si="11"/>
        <v>195167</v>
      </c>
      <c r="M37" s="252">
        <f>+M15-M36</f>
        <v>195167</v>
      </c>
      <c r="N37" s="252">
        <f>+N15-N36</f>
        <v>195167</v>
      </c>
      <c r="O37" s="252">
        <f t="shared" si="11"/>
        <v>195167</v>
      </c>
      <c r="P37" s="252">
        <f>+P15-P36</f>
        <v>195167</v>
      </c>
      <c r="Q37" s="252">
        <f>+Q15-Q36</f>
        <v>195167</v>
      </c>
      <c r="R37" s="252">
        <f>+R15-R36</f>
        <v>195167</v>
      </c>
      <c r="S37" s="252">
        <f>+S15-S36</f>
        <v>195167</v>
      </c>
      <c r="T37" s="252">
        <f t="shared" si="11"/>
        <v>195167</v>
      </c>
      <c r="U37" s="252">
        <f t="shared" si="11"/>
        <v>193642</v>
      </c>
      <c r="V37" s="253">
        <f t="shared" si="11"/>
        <v>3583998</v>
      </c>
    </row>
    <row r="38" spans="1:22" ht="13.5">
      <c r="A38" s="1471" t="s">
        <v>479</v>
      </c>
      <c r="B38" s="1471"/>
      <c r="C38" s="1471"/>
      <c r="D38" s="1471"/>
      <c r="E38" s="1471"/>
      <c r="F38" s="1471"/>
      <c r="G38" s="1471"/>
      <c r="H38" s="1471"/>
      <c r="I38" s="1471"/>
      <c r="J38" s="1471"/>
      <c r="K38" s="1471"/>
      <c r="L38" s="1471"/>
      <c r="M38" s="1471"/>
      <c r="N38" s="1471"/>
      <c r="O38" s="1471"/>
      <c r="P38" s="1471"/>
      <c r="Q38" s="1471"/>
      <c r="R38" s="1471"/>
      <c r="S38" s="1471"/>
      <c r="T38" s="1471"/>
      <c r="U38" s="1471"/>
      <c r="V38" s="1471"/>
    </row>
    <row r="39" spans="1:22" ht="13.5">
      <c r="A39" s="1472" t="s">
        <v>980</v>
      </c>
      <c r="B39" s="1472"/>
      <c r="C39" s="1472"/>
      <c r="D39" s="1472"/>
      <c r="E39" s="1472"/>
      <c r="F39" s="1472"/>
      <c r="G39" s="1472"/>
      <c r="H39" s="1472"/>
      <c r="I39" s="1472"/>
      <c r="J39" s="1472"/>
      <c r="K39" s="1472"/>
      <c r="L39" s="1472"/>
      <c r="M39" s="1472"/>
      <c r="N39" s="1472"/>
      <c r="O39" s="1472"/>
      <c r="P39" s="1472"/>
      <c r="Q39" s="1472"/>
      <c r="R39" s="1472"/>
      <c r="S39" s="1472"/>
      <c r="T39" s="1472"/>
      <c r="U39" s="1472"/>
      <c r="V39" s="1472"/>
    </row>
    <row r="40" spans="1:22" ht="61.5" customHeight="1">
      <c r="A40" s="1473" t="s">
        <v>1119</v>
      </c>
      <c r="B40" s="1473"/>
      <c r="C40" s="1473"/>
      <c r="D40" s="1473"/>
      <c r="E40" s="1473"/>
      <c r="F40" s="1473"/>
      <c r="G40" s="1473"/>
      <c r="H40" s="1473"/>
      <c r="I40" s="1473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</row>
    <row r="42" spans="1:22" ht="15.75">
      <c r="A42" s="1474" t="s">
        <v>1541</v>
      </c>
      <c r="B42" s="1474"/>
      <c r="C42" s="1474"/>
      <c r="D42" s="1474"/>
      <c r="E42" s="1474"/>
      <c r="F42" s="1474"/>
      <c r="G42" s="1474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2">
      <c r="A43" s="254"/>
      <c r="B43" s="254"/>
      <c r="C43" s="254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2" ht="12.75" thickBot="1">
      <c r="A44" s="255"/>
      <c r="B44" s="255"/>
      <c r="C44" s="256" t="s">
        <v>49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</row>
    <row r="45" spans="1:22" ht="36.75" thickBot="1">
      <c r="A45" s="258" t="s">
        <v>17</v>
      </c>
      <c r="B45" s="268" t="s">
        <v>476</v>
      </c>
      <c r="C45" s="274" t="s">
        <v>477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</row>
    <row r="46" spans="1:22" ht="12.75" thickBot="1">
      <c r="A46" s="259">
        <v>1</v>
      </c>
      <c r="B46" s="269">
        <v>2</v>
      </c>
      <c r="C46" s="275">
        <v>3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</row>
    <row r="47" spans="1:22">
      <c r="A47" s="260" t="s">
        <v>4</v>
      </c>
      <c r="B47" s="270" t="s">
        <v>1263</v>
      </c>
      <c r="C47" s="276">
        <v>29999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</row>
    <row r="48" spans="1:22">
      <c r="A48" s="261" t="s">
        <v>5</v>
      </c>
      <c r="B48" s="271"/>
      <c r="C48" s="277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</row>
    <row r="49" spans="1:22" ht="12.75" thickBot="1">
      <c r="A49" s="262" t="s">
        <v>6</v>
      </c>
      <c r="B49" s="272"/>
      <c r="C49" s="278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</row>
    <row r="50" spans="1:22" ht="24.75" thickBot="1">
      <c r="A50" s="263" t="s">
        <v>3</v>
      </c>
      <c r="B50" s="273" t="s">
        <v>1264</v>
      </c>
      <c r="C50" s="279">
        <f>SUM(C47:C49)</f>
        <v>29999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</row>
    <row r="51" spans="1:2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</row>
    <row r="52" spans="1:2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</row>
  </sheetData>
  <mergeCells count="9">
    <mergeCell ref="A38:V38"/>
    <mergeCell ref="A39:V39"/>
    <mergeCell ref="A40:V40"/>
    <mergeCell ref="A42:G42"/>
    <mergeCell ref="A3:V3"/>
    <mergeCell ref="A5:A6"/>
    <mergeCell ref="B5:B6"/>
    <mergeCell ref="C5:U5"/>
    <mergeCell ref="V5:V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8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9">
    <tabColor rgb="FF00B0F0"/>
    <pageSetUpPr fitToPage="1"/>
  </sheetPr>
  <dimension ref="A1:I46"/>
  <sheetViews>
    <sheetView zoomScaleNormal="100" workbookViewId="0"/>
  </sheetViews>
  <sheetFormatPr defaultRowHeight="12"/>
  <cols>
    <col min="1" max="1" width="4.85546875" style="174" bestFit="1" customWidth="1"/>
    <col min="2" max="2" width="82.5703125" style="174" customWidth="1"/>
    <col min="3" max="8" width="10.140625" style="174" customWidth="1"/>
    <col min="9" max="9" width="13.140625" style="174" bestFit="1" customWidth="1"/>
    <col min="10" max="16384" width="9.140625" style="174"/>
  </cols>
  <sheetData>
    <row r="1" spans="1:9" s="175" customFormat="1" ht="15.75">
      <c r="A1" s="305"/>
      <c r="B1" s="304"/>
      <c r="C1" s="304"/>
      <c r="D1" s="304"/>
      <c r="E1" s="304"/>
      <c r="F1" s="304"/>
      <c r="G1" s="304"/>
      <c r="H1" s="168"/>
      <c r="I1" s="179" t="s">
        <v>492</v>
      </c>
    </row>
    <row r="2" spans="1:9" s="175" customFormat="1" ht="15.75">
      <c r="A2" s="305"/>
      <c r="B2" s="304"/>
      <c r="C2" s="304"/>
      <c r="D2" s="304"/>
      <c r="E2" s="304"/>
      <c r="F2" s="304"/>
      <c r="G2" s="304"/>
      <c r="H2" s="168"/>
      <c r="I2" s="179"/>
    </row>
    <row r="3" spans="1:9" s="176" customFormat="1" ht="15.75">
      <c r="A3" s="1405" t="s">
        <v>481</v>
      </c>
      <c r="B3" s="1405"/>
      <c r="C3" s="1405"/>
      <c r="D3" s="1405"/>
      <c r="E3" s="1405"/>
      <c r="F3" s="1405"/>
      <c r="G3" s="1405"/>
      <c r="H3" s="1405"/>
      <c r="I3" s="1405"/>
    </row>
    <row r="4" spans="1:9">
      <c r="A4" s="1486"/>
      <c r="B4" s="1486"/>
      <c r="C4" s="1486"/>
      <c r="D4" s="1486"/>
      <c r="E4" s="1486"/>
      <c r="F4" s="1486"/>
      <c r="G4" s="1486"/>
      <c r="H4" s="1486"/>
      <c r="I4" s="1486"/>
    </row>
    <row r="5" spans="1:9" ht="12.75" thickBot="1">
      <c r="A5" s="302"/>
      <c r="B5" s="306"/>
      <c r="C5" s="306"/>
      <c r="D5" s="306"/>
      <c r="E5" s="306"/>
      <c r="F5" s="306"/>
      <c r="G5" s="306"/>
      <c r="H5" s="306"/>
      <c r="I5" s="234" t="s">
        <v>458</v>
      </c>
    </row>
    <row r="6" spans="1:9" ht="12.75" thickBot="1">
      <c r="A6" s="1397" t="s">
        <v>8</v>
      </c>
      <c r="B6" s="1487" t="s">
        <v>482</v>
      </c>
      <c r="C6" s="1397" t="s">
        <v>483</v>
      </c>
      <c r="D6" s="1397" t="s">
        <v>1327</v>
      </c>
      <c r="E6" s="1489" t="s">
        <v>484</v>
      </c>
      <c r="F6" s="1490"/>
      <c r="G6" s="1490"/>
      <c r="H6" s="1491"/>
      <c r="I6" s="1487" t="s">
        <v>18</v>
      </c>
    </row>
    <row r="7" spans="1:9" ht="24.75" thickBot="1">
      <c r="A7" s="1398"/>
      <c r="B7" s="1488"/>
      <c r="C7" s="1488"/>
      <c r="D7" s="1398"/>
      <c r="E7" s="313" t="s">
        <v>1317</v>
      </c>
      <c r="F7" s="312" t="s">
        <v>461</v>
      </c>
      <c r="G7" s="315" t="s">
        <v>462</v>
      </c>
      <c r="H7" s="316" t="s">
        <v>1324</v>
      </c>
      <c r="I7" s="1488"/>
    </row>
    <row r="8" spans="1:9" ht="12.75" thickBot="1">
      <c r="A8" s="310">
        <v>1</v>
      </c>
      <c r="B8" s="307">
        <v>2</v>
      </c>
      <c r="C8" s="301">
        <v>3</v>
      </c>
      <c r="D8" s="307">
        <v>4</v>
      </c>
      <c r="E8" s="310">
        <v>5</v>
      </c>
      <c r="F8" s="300">
        <v>6</v>
      </c>
      <c r="G8" s="299">
        <v>7</v>
      </c>
      <c r="H8" s="298">
        <v>8</v>
      </c>
      <c r="I8" s="297" t="s">
        <v>485</v>
      </c>
    </row>
    <row r="9" spans="1:9" ht="12.75" thickBot="1">
      <c r="A9" s="303" t="s">
        <v>4</v>
      </c>
      <c r="B9" s="308" t="s">
        <v>901</v>
      </c>
      <c r="C9" s="296" t="s">
        <v>19</v>
      </c>
      <c r="D9" s="314">
        <f t="shared" ref="D9:I9" si="0">SUM(D10:D10)</f>
        <v>0</v>
      </c>
      <c r="E9" s="314">
        <f t="shared" si="0"/>
        <v>0</v>
      </c>
      <c r="F9" s="295">
        <f t="shared" si="0"/>
        <v>0</v>
      </c>
      <c r="G9" s="294">
        <f t="shared" si="0"/>
        <v>0</v>
      </c>
      <c r="H9" s="309">
        <f t="shared" si="0"/>
        <v>0</v>
      </c>
      <c r="I9" s="293">
        <f t="shared" si="0"/>
        <v>0</v>
      </c>
    </row>
    <row r="10" spans="1:9" ht="12.75" thickBot="1">
      <c r="A10" s="292" t="s">
        <v>5</v>
      </c>
      <c r="B10" s="286" t="s">
        <v>19</v>
      </c>
      <c r="C10" s="291"/>
      <c r="D10" s="290"/>
      <c r="E10" s="289"/>
      <c r="F10" s="288"/>
      <c r="G10" s="287"/>
      <c r="H10" s="317"/>
      <c r="I10" s="323">
        <f>+D10+E10+F10+G10+H10</f>
        <v>0</v>
      </c>
    </row>
    <row r="11" spans="1:9" ht="12.75" thickBot="1">
      <c r="A11" s="303" t="s">
        <v>6</v>
      </c>
      <c r="B11" s="324" t="s">
        <v>902</v>
      </c>
      <c r="C11" s="296" t="s">
        <v>19</v>
      </c>
      <c r="D11" s="314">
        <f t="shared" ref="D11:I11" si="1">SUM(D12:D12)</f>
        <v>0</v>
      </c>
      <c r="E11" s="314">
        <f t="shared" si="1"/>
        <v>0</v>
      </c>
      <c r="F11" s="295">
        <f t="shared" si="1"/>
        <v>9999</v>
      </c>
      <c r="G11" s="294">
        <f t="shared" si="1"/>
        <v>0</v>
      </c>
      <c r="H11" s="309">
        <f t="shared" si="1"/>
        <v>0</v>
      </c>
      <c r="I11" s="293">
        <f t="shared" si="1"/>
        <v>9999</v>
      </c>
    </row>
    <row r="12" spans="1:9" ht="12.75" thickBot="1">
      <c r="A12" s="292" t="s">
        <v>3</v>
      </c>
      <c r="B12" s="286" t="s">
        <v>1256</v>
      </c>
      <c r="C12" s="291" t="s">
        <v>460</v>
      </c>
      <c r="D12" s="325"/>
      <c r="E12" s="318"/>
      <c r="F12" s="320">
        <v>9999</v>
      </c>
      <c r="G12" s="321"/>
      <c r="H12" s="319"/>
      <c r="I12" s="326">
        <f>+D12+E12+F12+G12+H12</f>
        <v>9999</v>
      </c>
    </row>
    <row r="13" spans="1:9" ht="12.75" thickBot="1">
      <c r="A13" s="307" t="s">
        <v>16</v>
      </c>
      <c r="B13" s="327" t="s">
        <v>486</v>
      </c>
      <c r="C13" s="328" t="s">
        <v>19</v>
      </c>
      <c r="D13" s="329">
        <f t="shared" ref="D13:I13" si="2">SUM(D14:D14)</f>
        <v>0</v>
      </c>
      <c r="E13" s="330">
        <f t="shared" si="2"/>
        <v>0</v>
      </c>
      <c r="F13" s="332">
        <f t="shared" si="2"/>
        <v>0</v>
      </c>
      <c r="G13" s="333">
        <f t="shared" si="2"/>
        <v>0</v>
      </c>
      <c r="H13" s="334">
        <f t="shared" si="2"/>
        <v>0</v>
      </c>
      <c r="I13" s="293">
        <f t="shared" si="2"/>
        <v>0</v>
      </c>
    </row>
    <row r="14" spans="1:9" ht="12.75" thickBot="1">
      <c r="A14" s="335" t="s">
        <v>15</v>
      </c>
      <c r="B14" s="336" t="s">
        <v>19</v>
      </c>
      <c r="C14" s="337"/>
      <c r="D14" s="325"/>
      <c r="E14" s="338"/>
      <c r="F14" s="339"/>
      <c r="G14" s="340"/>
      <c r="H14" s="341"/>
      <c r="I14" s="326">
        <f>+D14+E14+F14+G14+H14</f>
        <v>0</v>
      </c>
    </row>
    <row r="15" spans="1:9" ht="12.75" thickBot="1">
      <c r="A15" s="307" t="s">
        <v>14</v>
      </c>
      <c r="B15" s="342" t="s">
        <v>487</v>
      </c>
      <c r="C15" s="328" t="s">
        <v>19</v>
      </c>
      <c r="D15" s="329">
        <f t="shared" ref="D15:I15" si="3">SUM(D16:D40)</f>
        <v>0</v>
      </c>
      <c r="E15" s="330">
        <f t="shared" si="3"/>
        <v>2712958</v>
      </c>
      <c r="F15" s="332">
        <f t="shared" si="3"/>
        <v>0</v>
      </c>
      <c r="G15" s="333">
        <f t="shared" si="3"/>
        <v>0</v>
      </c>
      <c r="H15" s="334">
        <f t="shared" si="3"/>
        <v>0</v>
      </c>
      <c r="I15" s="293">
        <f t="shared" si="3"/>
        <v>2712958</v>
      </c>
    </row>
    <row r="16" spans="1:9">
      <c r="A16" s="343" t="s">
        <v>13</v>
      </c>
      <c r="B16" s="344" t="s">
        <v>1247</v>
      </c>
      <c r="C16" s="345"/>
      <c r="D16" s="346"/>
      <c r="E16" s="942"/>
      <c r="F16" s="347"/>
      <c r="G16" s="348"/>
      <c r="H16" s="349"/>
      <c r="I16" s="350">
        <f t="shared" ref="I16:I40" si="4">+D16+E16+F16+G16+H16</f>
        <v>0</v>
      </c>
    </row>
    <row r="17" spans="1:9">
      <c r="A17" s="343" t="s">
        <v>12</v>
      </c>
      <c r="B17" s="344" t="s">
        <v>1127</v>
      </c>
      <c r="C17" s="345"/>
      <c r="D17" s="346"/>
      <c r="E17" s="203">
        <v>190846</v>
      </c>
      <c r="F17" s="347"/>
      <c r="G17" s="348"/>
      <c r="H17" s="349"/>
      <c r="I17" s="350">
        <f t="shared" ref="I17:I27" si="5">+D17+E17+F17+G17+H17</f>
        <v>190846</v>
      </c>
    </row>
    <row r="18" spans="1:9">
      <c r="A18" s="343" t="s">
        <v>11</v>
      </c>
      <c r="B18" s="344" t="s">
        <v>1128</v>
      </c>
      <c r="C18" s="345"/>
      <c r="D18" s="346"/>
      <c r="E18" s="203">
        <v>177292</v>
      </c>
      <c r="F18" s="347"/>
      <c r="G18" s="348"/>
      <c r="H18" s="349"/>
      <c r="I18" s="350">
        <f t="shared" si="5"/>
        <v>177292</v>
      </c>
    </row>
    <row r="19" spans="1:9">
      <c r="A19" s="343" t="s">
        <v>10</v>
      </c>
      <c r="B19" s="344" t="s">
        <v>1557</v>
      </c>
      <c r="C19" s="345"/>
      <c r="D19" s="346"/>
      <c r="E19" s="203">
        <v>438916</v>
      </c>
      <c r="F19" s="347"/>
      <c r="G19" s="348"/>
      <c r="H19" s="349"/>
      <c r="I19" s="350">
        <f t="shared" si="5"/>
        <v>438916</v>
      </c>
    </row>
    <row r="20" spans="1:9">
      <c r="A20" s="343" t="s">
        <v>9</v>
      </c>
      <c r="B20" s="344" t="s">
        <v>1257</v>
      </c>
      <c r="C20" s="345"/>
      <c r="D20" s="346"/>
      <c r="E20" s="203">
        <v>268531</v>
      </c>
      <c r="F20" s="347"/>
      <c r="G20" s="348"/>
      <c r="H20" s="349"/>
      <c r="I20" s="350">
        <f t="shared" si="5"/>
        <v>268531</v>
      </c>
    </row>
    <row r="21" spans="1:9" ht="24">
      <c r="A21" s="343" t="s">
        <v>45</v>
      </c>
      <c r="B21" s="344" t="s">
        <v>1248</v>
      </c>
      <c r="C21" s="345"/>
      <c r="D21" s="346"/>
      <c r="E21" s="203">
        <v>7204</v>
      </c>
      <c r="F21" s="347"/>
      <c r="G21" s="348"/>
      <c r="H21" s="349"/>
      <c r="I21" s="350">
        <f t="shared" si="5"/>
        <v>7204</v>
      </c>
    </row>
    <row r="22" spans="1:9">
      <c r="A22" s="343" t="s">
        <v>44</v>
      </c>
      <c r="B22" s="344" t="s">
        <v>1249</v>
      </c>
      <c r="C22" s="345"/>
      <c r="D22" s="346"/>
      <c r="E22" s="203">
        <v>137000</v>
      </c>
      <c r="F22" s="347"/>
      <c r="G22" s="348"/>
      <c r="H22" s="349"/>
      <c r="I22" s="350">
        <f t="shared" si="5"/>
        <v>137000</v>
      </c>
    </row>
    <row r="23" spans="1:9">
      <c r="A23" s="343" t="s">
        <v>43</v>
      </c>
      <c r="B23" s="344" t="s">
        <v>1253</v>
      </c>
      <c r="C23" s="345"/>
      <c r="D23" s="346"/>
      <c r="E23" s="203">
        <v>404</v>
      </c>
      <c r="F23" s="347"/>
      <c r="G23" s="348"/>
      <c r="H23" s="349"/>
      <c r="I23" s="350">
        <f t="shared" si="5"/>
        <v>404</v>
      </c>
    </row>
    <row r="24" spans="1:9">
      <c r="A24" s="343" t="s">
        <v>40</v>
      </c>
      <c r="B24" s="344" t="s">
        <v>1259</v>
      </c>
      <c r="C24" s="345"/>
      <c r="D24" s="346"/>
      <c r="E24" s="203">
        <v>8223</v>
      </c>
      <c r="F24" s="347"/>
      <c r="G24" s="348"/>
      <c r="H24" s="349"/>
      <c r="I24" s="350">
        <f t="shared" si="5"/>
        <v>8223</v>
      </c>
    </row>
    <row r="25" spans="1:9">
      <c r="A25" s="343" t="s">
        <v>39</v>
      </c>
      <c r="B25" s="344" t="s">
        <v>1250</v>
      </c>
      <c r="C25" s="345"/>
      <c r="D25" s="346"/>
      <c r="E25" s="203">
        <v>398746</v>
      </c>
      <c r="F25" s="347"/>
      <c r="G25" s="348"/>
      <c r="H25" s="349"/>
      <c r="I25" s="350">
        <f t="shared" si="5"/>
        <v>398746</v>
      </c>
    </row>
    <row r="26" spans="1:9" ht="24">
      <c r="A26" s="343" t="s">
        <v>38</v>
      </c>
      <c r="B26" s="344" t="s">
        <v>1251</v>
      </c>
      <c r="C26" s="345"/>
      <c r="D26" s="346"/>
      <c r="E26" s="203">
        <v>57792</v>
      </c>
      <c r="F26" s="347"/>
      <c r="G26" s="348"/>
      <c r="H26" s="349"/>
      <c r="I26" s="350">
        <f t="shared" si="5"/>
        <v>57792</v>
      </c>
    </row>
    <row r="27" spans="1:9" ht="24">
      <c r="A27" s="343" t="s">
        <v>36</v>
      </c>
      <c r="B27" s="344" t="s">
        <v>1252</v>
      </c>
      <c r="C27" s="345"/>
      <c r="D27" s="346"/>
      <c r="E27" s="203">
        <v>387099</v>
      </c>
      <c r="F27" s="347"/>
      <c r="G27" s="348"/>
      <c r="H27" s="349"/>
      <c r="I27" s="350">
        <f t="shared" si="5"/>
        <v>387099</v>
      </c>
    </row>
    <row r="28" spans="1:9">
      <c r="A28" s="343" t="s">
        <v>35</v>
      </c>
      <c r="B28" s="344" t="s">
        <v>1258</v>
      </c>
      <c r="C28" s="345"/>
      <c r="D28" s="346"/>
      <c r="E28" s="203">
        <f>25540+19</f>
        <v>25559</v>
      </c>
      <c r="F28" s="347"/>
      <c r="G28" s="348"/>
      <c r="H28" s="349"/>
      <c r="I28" s="350">
        <f t="shared" si="4"/>
        <v>25559</v>
      </c>
    </row>
    <row r="29" spans="1:9">
      <c r="A29" s="343" t="s">
        <v>34</v>
      </c>
      <c r="B29" s="344" t="s">
        <v>1556</v>
      </c>
      <c r="C29" s="345"/>
      <c r="D29" s="346"/>
      <c r="E29" s="203">
        <v>62052</v>
      </c>
      <c r="F29" s="347"/>
      <c r="G29" s="348"/>
      <c r="H29" s="349"/>
      <c r="I29" s="350">
        <f t="shared" si="4"/>
        <v>62052</v>
      </c>
    </row>
    <row r="30" spans="1:9">
      <c r="A30" s="343" t="s">
        <v>33</v>
      </c>
      <c r="B30" s="344" t="s">
        <v>1555</v>
      </c>
      <c r="C30" s="345"/>
      <c r="D30" s="346"/>
      <c r="E30" s="203">
        <v>68272</v>
      </c>
      <c r="F30" s="347"/>
      <c r="G30" s="348"/>
      <c r="H30" s="349"/>
      <c r="I30" s="350">
        <f t="shared" si="4"/>
        <v>68272</v>
      </c>
    </row>
    <row r="31" spans="1:9">
      <c r="A31" s="343" t="s">
        <v>32</v>
      </c>
      <c r="B31" s="344" t="s">
        <v>1554</v>
      </c>
      <c r="C31" s="345"/>
      <c r="D31" s="346"/>
      <c r="E31" s="203">
        <v>173184</v>
      </c>
      <c r="F31" s="347"/>
      <c r="G31" s="348"/>
      <c r="H31" s="349"/>
      <c r="I31" s="350">
        <f t="shared" si="4"/>
        <v>173184</v>
      </c>
    </row>
    <row r="32" spans="1:9">
      <c r="A32" s="343" t="s">
        <v>472</v>
      </c>
      <c r="B32" s="344" t="s">
        <v>1553</v>
      </c>
      <c r="C32" s="345"/>
      <c r="D32" s="346"/>
      <c r="E32" s="203">
        <v>482</v>
      </c>
      <c r="F32" s="347"/>
      <c r="G32" s="348"/>
      <c r="H32" s="349"/>
      <c r="I32" s="350">
        <f t="shared" si="4"/>
        <v>482</v>
      </c>
    </row>
    <row r="33" spans="1:9">
      <c r="A33" s="343" t="s">
        <v>473</v>
      </c>
      <c r="B33" s="344" t="s">
        <v>1552</v>
      </c>
      <c r="C33" s="345"/>
      <c r="D33" s="346"/>
      <c r="E33" s="203">
        <v>68674</v>
      </c>
      <c r="F33" s="347"/>
      <c r="G33" s="348"/>
      <c r="H33" s="349"/>
      <c r="I33" s="350">
        <f t="shared" si="4"/>
        <v>68674</v>
      </c>
    </row>
    <row r="34" spans="1:9">
      <c r="A34" s="343" t="s">
        <v>474</v>
      </c>
      <c r="B34" s="344" t="s">
        <v>1551</v>
      </c>
      <c r="C34" s="345"/>
      <c r="D34" s="346"/>
      <c r="E34" s="203">
        <f>31943+11</f>
        <v>31954</v>
      </c>
      <c r="F34" s="347"/>
      <c r="G34" s="348"/>
      <c r="H34" s="349"/>
      <c r="I34" s="350">
        <f t="shared" si="4"/>
        <v>31954</v>
      </c>
    </row>
    <row r="35" spans="1:9">
      <c r="A35" s="343" t="s">
        <v>475</v>
      </c>
      <c r="B35" s="344" t="s">
        <v>1598</v>
      </c>
      <c r="C35" s="345"/>
      <c r="D35" s="346"/>
      <c r="E35" s="203">
        <v>48785</v>
      </c>
      <c r="F35" s="347"/>
      <c r="G35" s="348"/>
      <c r="H35" s="349"/>
      <c r="I35" s="350">
        <f t="shared" si="4"/>
        <v>48785</v>
      </c>
    </row>
    <row r="36" spans="1:9">
      <c r="A36" s="343" t="s">
        <v>488</v>
      </c>
      <c r="B36" s="344" t="s">
        <v>1549</v>
      </c>
      <c r="C36" s="345"/>
      <c r="D36" s="346"/>
      <c r="E36" s="942"/>
      <c r="F36" s="347"/>
      <c r="G36" s="348"/>
      <c r="H36" s="349"/>
      <c r="I36" s="350">
        <f t="shared" si="4"/>
        <v>0</v>
      </c>
    </row>
    <row r="37" spans="1:9">
      <c r="A37" s="343" t="s">
        <v>489</v>
      </c>
      <c r="B37" s="344" t="s">
        <v>1548</v>
      </c>
      <c r="C37" s="345"/>
      <c r="D37" s="346"/>
      <c r="E37" s="203">
        <v>84548</v>
      </c>
      <c r="F37" s="347"/>
      <c r="G37" s="348"/>
      <c r="H37" s="349"/>
      <c r="I37" s="350">
        <f t="shared" si="4"/>
        <v>84548</v>
      </c>
    </row>
    <row r="38" spans="1:9">
      <c r="A38" s="343" t="s">
        <v>490</v>
      </c>
      <c r="B38" s="344" t="s">
        <v>1547</v>
      </c>
      <c r="C38" s="345"/>
      <c r="D38" s="346"/>
      <c r="E38" s="942"/>
      <c r="F38" s="347"/>
      <c r="G38" s="348"/>
      <c r="H38" s="349"/>
      <c r="I38" s="350">
        <f t="shared" si="4"/>
        <v>0</v>
      </c>
    </row>
    <row r="39" spans="1:9">
      <c r="A39" s="343" t="s">
        <v>1589</v>
      </c>
      <c r="B39" s="344" t="s">
        <v>1546</v>
      </c>
      <c r="C39" s="345"/>
      <c r="D39" s="346"/>
      <c r="E39" s="203">
        <v>25745</v>
      </c>
      <c r="F39" s="347"/>
      <c r="G39" s="348"/>
      <c r="H39" s="349"/>
      <c r="I39" s="350">
        <f t="shared" ref="I39" si="6">+D39+E39+F39+G39+H39</f>
        <v>25745</v>
      </c>
    </row>
    <row r="40" spans="1:9" ht="12.75" thickBot="1">
      <c r="A40" s="343" t="s">
        <v>1590</v>
      </c>
      <c r="B40" s="344" t="s">
        <v>1599</v>
      </c>
      <c r="C40" s="345"/>
      <c r="D40" s="346"/>
      <c r="E40" s="203">
        <v>51650</v>
      </c>
      <c r="F40" s="347"/>
      <c r="G40" s="348"/>
      <c r="H40" s="349"/>
      <c r="I40" s="350">
        <f t="shared" si="4"/>
        <v>51650</v>
      </c>
    </row>
    <row r="41" spans="1:9" ht="12.75" thickBot="1">
      <c r="A41" s="307" t="s">
        <v>1591</v>
      </c>
      <c r="B41" s="327" t="s">
        <v>491</v>
      </c>
      <c r="C41" s="328" t="s">
        <v>19</v>
      </c>
      <c r="D41" s="329">
        <f>SUM(D42:D45)</f>
        <v>9880</v>
      </c>
      <c r="E41" s="330">
        <f t="shared" ref="E41:I41" si="7">SUM(E42:E45)</f>
        <v>31504</v>
      </c>
      <c r="F41" s="332">
        <f t="shared" si="7"/>
        <v>28307</v>
      </c>
      <c r="G41" s="333">
        <f t="shared" si="7"/>
        <v>28308</v>
      </c>
      <c r="H41" s="331">
        <f t="shared" si="7"/>
        <v>33525</v>
      </c>
      <c r="I41" s="359">
        <f t="shared" si="7"/>
        <v>131524</v>
      </c>
    </row>
    <row r="42" spans="1:9">
      <c r="A42" s="355" t="s">
        <v>1592</v>
      </c>
      <c r="B42" s="780" t="s">
        <v>1081</v>
      </c>
      <c r="C42" s="356" t="s">
        <v>1082</v>
      </c>
      <c r="D42" s="817"/>
      <c r="E42" s="351">
        <v>4399</v>
      </c>
      <c r="F42" s="353"/>
      <c r="G42" s="354"/>
      <c r="H42" s="352"/>
      <c r="I42" s="360">
        <f>+D42+E42+F42+G42+H42</f>
        <v>4399</v>
      </c>
    </row>
    <row r="43" spans="1:9">
      <c r="A43" s="355" t="s">
        <v>1593</v>
      </c>
      <c r="B43" s="780" t="s">
        <v>1152</v>
      </c>
      <c r="C43" s="356" t="s">
        <v>445</v>
      </c>
      <c r="D43" s="1092">
        <f>9000-3000</f>
        <v>6000</v>
      </c>
      <c r="E43" s="351">
        <f>2000+3000</f>
        <v>5000</v>
      </c>
      <c r="F43" s="353">
        <v>2000</v>
      </c>
      <c r="G43" s="354">
        <v>2000</v>
      </c>
      <c r="H43" s="352">
        <f>37525-4000</f>
        <v>33525</v>
      </c>
      <c r="I43" s="360">
        <f>+D43+E43+F43+G43+H43</f>
        <v>48525</v>
      </c>
    </row>
    <row r="44" spans="1:9">
      <c r="A44" s="355" t="s">
        <v>1594</v>
      </c>
      <c r="B44" s="780" t="s">
        <v>1542</v>
      </c>
      <c r="C44" s="356" t="s">
        <v>459</v>
      </c>
      <c r="D44" s="1092">
        <v>3880</v>
      </c>
      <c r="E44" s="351">
        <v>13205</v>
      </c>
      <c r="F44" s="353">
        <v>19807</v>
      </c>
      <c r="G44" s="354">
        <v>19808</v>
      </c>
      <c r="H44" s="352"/>
      <c r="I44" s="360">
        <f>+D44+E44+F44+G44+H44</f>
        <v>56700</v>
      </c>
    </row>
    <row r="45" spans="1:9" ht="12.75" thickBot="1">
      <c r="A45" s="355" t="s">
        <v>1602</v>
      </c>
      <c r="B45" s="780" t="s">
        <v>1543</v>
      </c>
      <c r="C45" s="356" t="s">
        <v>459</v>
      </c>
      <c r="D45" s="357"/>
      <c r="E45" s="351">
        <v>8900</v>
      </c>
      <c r="F45" s="353">
        <v>6500</v>
      </c>
      <c r="G45" s="354">
        <v>6500</v>
      </c>
      <c r="H45" s="352"/>
      <c r="I45" s="360">
        <f>+D45+E45+F45+G45+H45</f>
        <v>21900</v>
      </c>
    </row>
    <row r="46" spans="1:9" ht="12.75" thickBot="1">
      <c r="A46" s="1484" t="s">
        <v>1603</v>
      </c>
      <c r="B46" s="1485"/>
      <c r="C46" s="358" t="s">
        <v>19</v>
      </c>
      <c r="D46" s="314">
        <f t="shared" ref="D46:I46" si="8">+D9+D11+D13+D15+D41</f>
        <v>9880</v>
      </c>
      <c r="E46" s="314">
        <f t="shared" si="8"/>
        <v>2744462</v>
      </c>
      <c r="F46" s="295">
        <f t="shared" si="8"/>
        <v>38306</v>
      </c>
      <c r="G46" s="294">
        <f t="shared" si="8"/>
        <v>28308</v>
      </c>
      <c r="H46" s="311">
        <f t="shared" si="8"/>
        <v>33525</v>
      </c>
      <c r="I46" s="359">
        <f t="shared" si="8"/>
        <v>2854481</v>
      </c>
    </row>
  </sheetData>
  <mergeCells count="9">
    <mergeCell ref="A46:B46"/>
    <mergeCell ref="A3:I3"/>
    <mergeCell ref="A4:I4"/>
    <mergeCell ref="A6:A7"/>
    <mergeCell ref="B6:B7"/>
    <mergeCell ref="C6:C7"/>
    <mergeCell ref="D6:D7"/>
    <mergeCell ref="I6:I7"/>
    <mergeCell ref="E6:H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0">
    <tabColor rgb="FF00B0F0"/>
    <pageSetUpPr fitToPage="1"/>
  </sheetPr>
  <dimension ref="A1:G25"/>
  <sheetViews>
    <sheetView zoomScaleNormal="100" workbookViewId="0"/>
  </sheetViews>
  <sheetFormatPr defaultColWidth="15.28515625" defaultRowHeight="12"/>
  <cols>
    <col min="1" max="1" width="5.140625" style="454" customWidth="1"/>
    <col min="2" max="2" width="51.28515625" style="454" bestFit="1" customWidth="1"/>
    <col min="3" max="4" width="16.7109375" style="454" customWidth="1"/>
    <col min="5" max="5" width="15.28515625" style="454"/>
    <col min="6" max="7" width="0" style="454" hidden="1" customWidth="1"/>
    <col min="8" max="16384" width="15.28515625" style="454"/>
  </cols>
  <sheetData>
    <row r="1" spans="1:4" s="650" customFormat="1" ht="15.75">
      <c r="A1" s="649"/>
      <c r="B1" s="649"/>
      <c r="C1" s="649"/>
      <c r="D1" s="179" t="s">
        <v>493</v>
      </c>
    </row>
    <row r="2" spans="1:4" s="650" customFormat="1" ht="15.75">
      <c r="A2" s="649"/>
      <c r="B2" s="649"/>
      <c r="C2" s="649"/>
      <c r="D2" s="179"/>
    </row>
    <row r="3" spans="1:4" s="945" customFormat="1" ht="15.75">
      <c r="A3" s="1405" t="s">
        <v>1328</v>
      </c>
      <c r="B3" s="1405"/>
      <c r="C3" s="1405"/>
      <c r="D3" s="1405"/>
    </row>
    <row r="4" spans="1:4" s="945" customFormat="1" ht="15.75">
      <c r="A4" s="1492" t="s">
        <v>494</v>
      </c>
      <c r="B4" s="1492"/>
      <c r="C4" s="1492"/>
      <c r="D4" s="1492"/>
    </row>
    <row r="5" spans="1:4" ht="12.75" thickBot="1">
      <c r="A5" s="374"/>
      <c r="B5" s="373"/>
      <c r="C5" s="373"/>
      <c r="D5" s="372" t="s">
        <v>458</v>
      </c>
    </row>
    <row r="6" spans="1:4" ht="36.75" thickBot="1">
      <c r="A6" s="303" t="s">
        <v>17</v>
      </c>
      <c r="B6" s="376" t="s">
        <v>50</v>
      </c>
      <c r="C6" s="376" t="s">
        <v>1329</v>
      </c>
      <c r="D6" s="375" t="s">
        <v>1330</v>
      </c>
    </row>
    <row r="7" spans="1:4" ht="12.75" thickBot="1">
      <c r="A7" s="303">
        <v>1</v>
      </c>
      <c r="B7" s="376">
        <v>2</v>
      </c>
      <c r="C7" s="376">
        <v>3</v>
      </c>
      <c r="D7" s="375">
        <v>4</v>
      </c>
    </row>
    <row r="8" spans="1:4">
      <c r="A8" s="371" t="s">
        <v>4</v>
      </c>
      <c r="B8" s="370" t="s">
        <v>495</v>
      </c>
      <c r="C8" s="363"/>
      <c r="D8" s="341"/>
    </row>
    <row r="9" spans="1:4">
      <c r="A9" s="369" t="s">
        <v>5</v>
      </c>
      <c r="B9" s="368" t="s">
        <v>496</v>
      </c>
      <c r="C9" s="362"/>
      <c r="D9" s="322"/>
    </row>
    <row r="10" spans="1:4">
      <c r="A10" s="369" t="s">
        <v>6</v>
      </c>
      <c r="B10" s="368" t="s">
        <v>497</v>
      </c>
      <c r="C10" s="362"/>
      <c r="D10" s="322"/>
    </row>
    <row r="11" spans="1:4">
      <c r="A11" s="369" t="s">
        <v>3</v>
      </c>
      <c r="B11" s="368" t="s">
        <v>498</v>
      </c>
      <c r="C11" s="362"/>
      <c r="D11" s="322"/>
    </row>
    <row r="12" spans="1:4">
      <c r="A12" s="369" t="s">
        <v>16</v>
      </c>
      <c r="B12" s="368" t="s">
        <v>499</v>
      </c>
      <c r="C12" s="362">
        <f>+C13+C14+C15+C16+C17+C18+C19</f>
        <v>347800</v>
      </c>
      <c r="D12" s="764">
        <f>+D13+D14+D15+D16+D17+D18+D19</f>
        <v>5680</v>
      </c>
    </row>
    <row r="13" spans="1:4">
      <c r="A13" s="369" t="s">
        <v>227</v>
      </c>
      <c r="B13" s="367" t="s">
        <v>500</v>
      </c>
      <c r="C13" s="361">
        <v>31000</v>
      </c>
      <c r="D13" s="943"/>
    </row>
    <row r="14" spans="1:4">
      <c r="A14" s="369" t="s">
        <v>228</v>
      </c>
      <c r="B14" s="367" t="s">
        <v>501</v>
      </c>
      <c r="C14" s="361">
        <v>11000</v>
      </c>
      <c r="D14" s="943"/>
    </row>
    <row r="15" spans="1:4">
      <c r="A15" s="369" t="s">
        <v>229</v>
      </c>
      <c r="B15" s="367" t="s">
        <v>502</v>
      </c>
      <c r="C15" s="361"/>
      <c r="D15" s="943"/>
    </row>
    <row r="16" spans="1:4">
      <c r="A16" s="369" t="s">
        <v>257</v>
      </c>
      <c r="B16" s="367" t="s">
        <v>503</v>
      </c>
      <c r="C16" s="361">
        <v>23326</v>
      </c>
      <c r="D16" s="943">
        <f>3229+97</f>
        <v>3326</v>
      </c>
    </row>
    <row r="17" spans="1:7">
      <c r="A17" s="369" t="s">
        <v>258</v>
      </c>
      <c r="B17" s="367" t="s">
        <v>504</v>
      </c>
      <c r="C17" s="361">
        <v>120</v>
      </c>
      <c r="D17" s="943"/>
    </row>
    <row r="18" spans="1:7">
      <c r="A18" s="369" t="s">
        <v>259</v>
      </c>
      <c r="B18" s="367" t="s">
        <v>505</v>
      </c>
      <c r="C18" s="361"/>
      <c r="D18" s="943"/>
    </row>
    <row r="19" spans="1:7">
      <c r="A19" s="369" t="s">
        <v>260</v>
      </c>
      <c r="B19" s="367" t="s">
        <v>506</v>
      </c>
      <c r="C19" s="361">
        <v>282354</v>
      </c>
      <c r="D19" s="943">
        <v>2354</v>
      </c>
    </row>
    <row r="20" spans="1:7">
      <c r="A20" s="369" t="s">
        <v>15</v>
      </c>
      <c r="B20" s="368" t="s">
        <v>507</v>
      </c>
      <c r="C20" s="362"/>
      <c r="D20" s="322"/>
    </row>
    <row r="21" spans="1:7">
      <c r="A21" s="369" t="s">
        <v>14</v>
      </c>
      <c r="B21" s="368" t="s">
        <v>508</v>
      </c>
      <c r="C21" s="362"/>
      <c r="D21" s="322"/>
    </row>
    <row r="22" spans="1:7">
      <c r="A22" s="369" t="s">
        <v>13</v>
      </c>
      <c r="B22" s="368" t="s">
        <v>509</v>
      </c>
      <c r="C22" s="362"/>
      <c r="D22" s="322"/>
    </row>
    <row r="23" spans="1:7">
      <c r="A23" s="369" t="s">
        <v>12</v>
      </c>
      <c r="B23" s="368" t="s">
        <v>510</v>
      </c>
      <c r="C23" s="362"/>
      <c r="D23" s="322"/>
    </row>
    <row r="24" spans="1:7" ht="12.75" thickBot="1">
      <c r="A24" s="765" t="s">
        <v>11</v>
      </c>
      <c r="B24" s="766" t="s">
        <v>511</v>
      </c>
      <c r="C24" s="767"/>
      <c r="D24" s="768"/>
    </row>
    <row r="25" spans="1:7" ht="12.75" thickBot="1">
      <c r="A25" s="365" t="s">
        <v>10</v>
      </c>
      <c r="B25" s="377" t="s">
        <v>441</v>
      </c>
      <c r="C25" s="377">
        <f>+C8+C9+C10+C11+C12+C20+C21+C22+C23+C24</f>
        <v>347800</v>
      </c>
      <c r="D25" s="364">
        <f>+D8+D9+D10+D11+D12+D20+D21+D22+D23+D24</f>
        <v>5680</v>
      </c>
      <c r="F25" s="657">
        <v>342120</v>
      </c>
      <c r="G25" s="657">
        <f>+C25-D25-F25</f>
        <v>0</v>
      </c>
    </row>
  </sheetData>
  <mergeCells count="2">
    <mergeCell ref="A3:D3"/>
    <mergeCell ref="A4:D4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1">
    <tabColor rgb="FF00B0F0"/>
    <pageSetUpPr fitToPage="1"/>
  </sheetPr>
  <dimension ref="A1:AC39"/>
  <sheetViews>
    <sheetView zoomScaleNormal="100" workbookViewId="0"/>
  </sheetViews>
  <sheetFormatPr defaultRowHeight="12"/>
  <cols>
    <col min="1" max="1" width="4.85546875" style="454" customWidth="1"/>
    <col min="2" max="2" width="44" style="454" bestFit="1" customWidth="1"/>
    <col min="3" max="17" width="10.28515625" style="454" customWidth="1"/>
    <col min="18" max="21" width="0" style="454" hidden="1" customWidth="1"/>
    <col min="22" max="29" width="9.140625" style="454" hidden="1" customWidth="1"/>
    <col min="30" max="16384" width="9.140625" style="454"/>
  </cols>
  <sheetData>
    <row r="1" spans="1:29" s="650" customFormat="1" ht="15.75">
      <c r="A1" s="649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179" t="s">
        <v>845</v>
      </c>
      <c r="Q1" s="179"/>
      <c r="V1" s="812"/>
      <c r="W1" s="812"/>
      <c r="X1" s="812"/>
      <c r="Y1" s="812"/>
      <c r="Z1" s="812"/>
      <c r="AA1" s="812"/>
      <c r="AB1" s="812"/>
      <c r="AC1" s="812"/>
    </row>
    <row r="2" spans="1:29" s="650" customFormat="1" ht="16.5" thickBot="1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179"/>
      <c r="Q2" s="179"/>
      <c r="V2" s="812"/>
      <c r="W2" s="812">
        <v>3</v>
      </c>
      <c r="X2" s="812">
        <v>5</v>
      </c>
      <c r="Y2" s="812">
        <v>7</v>
      </c>
      <c r="Z2" s="812">
        <v>9</v>
      </c>
      <c r="AA2" s="812">
        <v>12</v>
      </c>
      <c r="AB2" s="812"/>
      <c r="AC2" s="812"/>
    </row>
    <row r="3" spans="1:29" s="945" customFormat="1" ht="16.5" thickBot="1">
      <c r="A3" s="1493" t="s">
        <v>1331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007"/>
      <c r="V3" s="1246" t="s">
        <v>969</v>
      </c>
      <c r="W3" s="1247" t="s">
        <v>515</v>
      </c>
      <c r="X3" s="1248" t="s">
        <v>517</v>
      </c>
      <c r="Y3" s="1248" t="s">
        <v>519</v>
      </c>
      <c r="Z3" s="1248" t="s">
        <v>521</v>
      </c>
      <c r="AA3" s="1249" t="s">
        <v>970</v>
      </c>
      <c r="AB3" s="1250" t="s">
        <v>18</v>
      </c>
      <c r="AC3" s="812"/>
    </row>
    <row r="4" spans="1:29" ht="12.75" thickBot="1">
      <c r="A4" s="975"/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411" t="s">
        <v>49</v>
      </c>
      <c r="Q4" s="411"/>
      <c r="V4" s="1251" t="s">
        <v>971</v>
      </c>
      <c r="W4" s="1252">
        <v>120000</v>
      </c>
      <c r="X4" s="1253">
        <v>10000</v>
      </c>
      <c r="Y4" s="1253">
        <v>0</v>
      </c>
      <c r="Z4" s="1253">
        <v>120000</v>
      </c>
      <c r="AA4" s="1254">
        <v>30000</v>
      </c>
      <c r="AB4" s="1255">
        <f t="shared" ref="AB4:AB11" si="0">SUM(W4:AA4)</f>
        <v>280000</v>
      </c>
      <c r="AC4" s="812">
        <v>280000</v>
      </c>
    </row>
    <row r="5" spans="1:29" ht="24.75" thickBot="1">
      <c r="A5" s="390" t="s">
        <v>17</v>
      </c>
      <c r="B5" s="391" t="s">
        <v>7</v>
      </c>
      <c r="C5" s="1256" t="s">
        <v>1317</v>
      </c>
      <c r="D5" s="397" t="s">
        <v>513</v>
      </c>
      <c r="E5" s="389" t="s">
        <v>514</v>
      </c>
      <c r="F5" s="389" t="s">
        <v>515</v>
      </c>
      <c r="G5" s="389" t="s">
        <v>516</v>
      </c>
      <c r="H5" s="389" t="s">
        <v>517</v>
      </c>
      <c r="I5" s="389" t="s">
        <v>518</v>
      </c>
      <c r="J5" s="389" t="s">
        <v>519</v>
      </c>
      <c r="K5" s="389" t="s">
        <v>520</v>
      </c>
      <c r="L5" s="389" t="s">
        <v>521</v>
      </c>
      <c r="M5" s="389" t="s">
        <v>522</v>
      </c>
      <c r="N5" s="389" t="s">
        <v>523</v>
      </c>
      <c r="O5" s="389" t="s">
        <v>524</v>
      </c>
      <c r="P5" s="392" t="s">
        <v>441</v>
      </c>
      <c r="Q5" s="809"/>
      <c r="V5" s="1257" t="s">
        <v>972</v>
      </c>
      <c r="W5" s="1258">
        <f>8000+4000</f>
        <v>12000</v>
      </c>
      <c r="X5" s="1259">
        <f>2000+1000</f>
        <v>3000</v>
      </c>
      <c r="Y5" s="1259">
        <v>0</v>
      </c>
      <c r="Z5" s="1259">
        <f>2000+1000</f>
        <v>3000</v>
      </c>
      <c r="AA5" s="1260">
        <v>2000</v>
      </c>
      <c r="AB5" s="1261">
        <f t="shared" si="0"/>
        <v>20000</v>
      </c>
      <c r="AC5" s="813">
        <v>20000</v>
      </c>
    </row>
    <row r="6" spans="1:29" ht="12.75" thickBot="1">
      <c r="A6" s="388"/>
      <c r="B6" s="1494" t="s">
        <v>525</v>
      </c>
      <c r="C6" s="1495"/>
      <c r="D6" s="1496"/>
      <c r="E6" s="1496"/>
      <c r="F6" s="1496"/>
      <c r="G6" s="1496"/>
      <c r="H6" s="1496"/>
      <c r="I6" s="1496"/>
      <c r="J6" s="1496"/>
      <c r="K6" s="1496"/>
      <c r="L6" s="1496"/>
      <c r="M6" s="1496"/>
      <c r="N6" s="1496"/>
      <c r="O6" s="1496"/>
      <c r="P6" s="1497"/>
      <c r="Q6" s="1008"/>
      <c r="R6" s="657"/>
      <c r="V6" s="1257" t="s">
        <v>973</v>
      </c>
      <c r="W6" s="1258">
        <v>11500</v>
      </c>
      <c r="X6" s="1259">
        <v>4000</v>
      </c>
      <c r="Y6" s="1259">
        <v>0</v>
      </c>
      <c r="Z6" s="1259">
        <v>11500</v>
      </c>
      <c r="AA6" s="1260">
        <v>4000</v>
      </c>
      <c r="AB6" s="1261">
        <f t="shared" si="0"/>
        <v>31000</v>
      </c>
      <c r="AC6" s="814">
        <v>31000</v>
      </c>
    </row>
    <row r="7" spans="1:29">
      <c r="A7" s="387" t="s">
        <v>4</v>
      </c>
      <c r="B7" s="386" t="s">
        <v>530</v>
      </c>
      <c r="C7" s="385">
        <f>+'1.mell._Össz_Mérleg2019'!C11</f>
        <v>962806</v>
      </c>
      <c r="D7" s="1241">
        <f>90479+6164</f>
        <v>96643</v>
      </c>
      <c r="E7" s="1242">
        <f>60319+6164</f>
        <v>66483</v>
      </c>
      <c r="F7" s="1242">
        <f t="shared" ref="F7:N7" si="1">60319+6164</f>
        <v>66483</v>
      </c>
      <c r="G7" s="1242">
        <f t="shared" si="1"/>
        <v>66483</v>
      </c>
      <c r="H7" s="1242">
        <f t="shared" si="1"/>
        <v>66483</v>
      </c>
      <c r="I7" s="1242">
        <f>60319+67422+6164</f>
        <v>133905</v>
      </c>
      <c r="J7" s="1242">
        <f t="shared" si="1"/>
        <v>66483</v>
      </c>
      <c r="K7" s="1242">
        <f t="shared" si="1"/>
        <v>66483</v>
      </c>
      <c r="L7" s="1242">
        <f t="shared" si="1"/>
        <v>66483</v>
      </c>
      <c r="M7" s="1242">
        <f t="shared" si="1"/>
        <v>66483</v>
      </c>
      <c r="N7" s="1242">
        <f t="shared" si="1"/>
        <v>66483</v>
      </c>
      <c r="O7" s="1242">
        <f>60319+67422+6164+6</f>
        <v>133911</v>
      </c>
      <c r="P7" s="384">
        <f>SUM(D7:O7)</f>
        <v>962806</v>
      </c>
      <c r="Q7" s="810"/>
      <c r="R7" s="657">
        <f t="shared" ref="R7:R15" si="2">+C7-P7</f>
        <v>0</v>
      </c>
      <c r="S7" s="454">
        <f t="shared" ref="S7:S15" si="3">+C7/12</f>
        <v>80233.833333333328</v>
      </c>
      <c r="T7" s="454">
        <f>+R7/12</f>
        <v>0</v>
      </c>
      <c r="V7" s="1257" t="s">
        <v>974</v>
      </c>
      <c r="W7" s="1262">
        <v>9000</v>
      </c>
      <c r="X7" s="1263">
        <v>2500</v>
      </c>
      <c r="Y7" s="1263">
        <v>0</v>
      </c>
      <c r="Z7" s="1263">
        <v>9000</v>
      </c>
      <c r="AA7" s="1264">
        <v>2500</v>
      </c>
      <c r="AB7" s="1265">
        <f t="shared" si="0"/>
        <v>23000</v>
      </c>
      <c r="AC7" s="815">
        <v>26500</v>
      </c>
    </row>
    <row r="8" spans="1:29">
      <c r="A8" s="383" t="s">
        <v>5</v>
      </c>
      <c r="B8" s="382" t="s">
        <v>526</v>
      </c>
      <c r="C8" s="381">
        <f>+'1.mell._Össz_Mérleg2019'!C25</f>
        <v>384050</v>
      </c>
      <c r="D8" s="976">
        <v>1478</v>
      </c>
      <c r="E8" s="977">
        <v>1478</v>
      </c>
      <c r="F8" s="977">
        <f>158500+1478</f>
        <v>159978</v>
      </c>
      <c r="G8" s="977">
        <v>1478</v>
      </c>
      <c r="H8" s="977">
        <f>19600+1478</f>
        <v>21078</v>
      </c>
      <c r="I8" s="977">
        <v>1478</v>
      </c>
      <c r="J8" s="977">
        <f>60+1478</f>
        <v>1538</v>
      </c>
      <c r="K8" s="977">
        <v>1478</v>
      </c>
      <c r="L8" s="977">
        <f>149560+1478</f>
        <v>151038</v>
      </c>
      <c r="M8" s="977">
        <v>1478</v>
      </c>
      <c r="N8" s="977">
        <v>1478</v>
      </c>
      <c r="O8" s="977">
        <f>38600+1478-6</f>
        <v>40072</v>
      </c>
      <c r="P8" s="380">
        <f t="shared" ref="P8:P15" si="4">SUM(D8:O8)</f>
        <v>384050</v>
      </c>
      <c r="Q8" s="810"/>
      <c r="R8" s="657">
        <f t="shared" si="2"/>
        <v>0</v>
      </c>
      <c r="S8" s="454">
        <f t="shared" si="3"/>
        <v>32004.166666666668</v>
      </c>
      <c r="T8" s="454">
        <f>+R8/12</f>
        <v>0</v>
      </c>
      <c r="V8" s="1257" t="s">
        <v>975</v>
      </c>
      <c r="W8" s="1258">
        <v>0</v>
      </c>
      <c r="X8" s="1259">
        <v>0</v>
      </c>
      <c r="Y8" s="1259">
        <v>60</v>
      </c>
      <c r="Z8" s="1259">
        <v>60</v>
      </c>
      <c r="AA8" s="1260">
        <v>0</v>
      </c>
      <c r="AB8" s="1261">
        <f t="shared" si="0"/>
        <v>120</v>
      </c>
      <c r="AC8" s="815">
        <v>120</v>
      </c>
    </row>
    <row r="9" spans="1:29">
      <c r="A9" s="383" t="s">
        <v>6</v>
      </c>
      <c r="B9" s="382" t="s">
        <v>531</v>
      </c>
      <c r="C9" s="381">
        <f>+'1.mell._Össz_Mérleg2019'!C32</f>
        <v>132543</v>
      </c>
      <c r="D9" s="976">
        <v>11045</v>
      </c>
      <c r="E9" s="977">
        <v>11045</v>
      </c>
      <c r="F9" s="977">
        <v>11045</v>
      </c>
      <c r="G9" s="977">
        <v>11045</v>
      </c>
      <c r="H9" s="977">
        <v>11045</v>
      </c>
      <c r="I9" s="977">
        <v>11045</v>
      </c>
      <c r="J9" s="977">
        <v>11045</v>
      </c>
      <c r="K9" s="977">
        <v>11045</v>
      </c>
      <c r="L9" s="977">
        <v>11045</v>
      </c>
      <c r="M9" s="977">
        <v>11045</v>
      </c>
      <c r="N9" s="977">
        <v>11045</v>
      </c>
      <c r="O9" s="977">
        <f>11045+3</f>
        <v>11048</v>
      </c>
      <c r="P9" s="380">
        <f t="shared" si="4"/>
        <v>132543</v>
      </c>
      <c r="Q9" s="810"/>
      <c r="R9" s="657">
        <f t="shared" si="2"/>
        <v>0</v>
      </c>
      <c r="S9" s="454">
        <f t="shared" si="3"/>
        <v>11045.25</v>
      </c>
      <c r="T9" s="454">
        <f>+R9/12</f>
        <v>0</v>
      </c>
      <c r="V9" s="1257" t="s">
        <v>1120</v>
      </c>
      <c r="W9" s="1262">
        <v>5500</v>
      </c>
      <c r="X9" s="1263"/>
      <c r="Y9" s="1263"/>
      <c r="Z9" s="1263">
        <v>5500</v>
      </c>
      <c r="AA9" s="1264"/>
      <c r="AB9" s="1265">
        <f>SUM(W9:AA9)</f>
        <v>11000</v>
      </c>
      <c r="AC9" s="815">
        <v>11000</v>
      </c>
    </row>
    <row r="10" spans="1:29">
      <c r="A10" s="383" t="s">
        <v>3</v>
      </c>
      <c r="B10" s="382" t="s">
        <v>532</v>
      </c>
      <c r="C10" s="379">
        <f>+'1.mell._Össz_Mérleg2019'!C44</f>
        <v>5800</v>
      </c>
      <c r="D10" s="976"/>
      <c r="E10" s="977"/>
      <c r="F10" s="977"/>
      <c r="G10" s="977"/>
      <c r="H10" s="977"/>
      <c r="I10" s="977">
        <v>900</v>
      </c>
      <c r="J10" s="977"/>
      <c r="K10" s="977"/>
      <c r="L10" s="977"/>
      <c r="M10" s="977">
        <v>4000</v>
      </c>
      <c r="N10" s="977"/>
      <c r="O10" s="978">
        <v>900</v>
      </c>
      <c r="P10" s="380">
        <f t="shared" si="4"/>
        <v>5800</v>
      </c>
      <c r="Q10" s="810"/>
      <c r="R10" s="657">
        <f t="shared" si="2"/>
        <v>0</v>
      </c>
      <c r="S10" s="454">
        <f t="shared" si="3"/>
        <v>483.33333333333331</v>
      </c>
      <c r="V10" s="1257" t="s">
        <v>976</v>
      </c>
      <c r="W10" s="1262">
        <v>500</v>
      </c>
      <c r="X10" s="1263">
        <v>100</v>
      </c>
      <c r="Y10" s="1263">
        <v>0</v>
      </c>
      <c r="Z10" s="1263">
        <v>500</v>
      </c>
      <c r="AA10" s="1264">
        <v>100</v>
      </c>
      <c r="AB10" s="1265">
        <f t="shared" si="0"/>
        <v>1200</v>
      </c>
      <c r="AC10" s="815">
        <v>1200</v>
      </c>
    </row>
    <row r="11" spans="1:29" ht="12.75" thickBot="1">
      <c r="A11" s="383" t="s">
        <v>16</v>
      </c>
      <c r="B11" s="382" t="s">
        <v>533</v>
      </c>
      <c r="C11" s="379">
        <f>+'1.mell._Össz_Mérleg2019'!C51</f>
        <v>377399</v>
      </c>
      <c r="D11" s="976">
        <v>31450</v>
      </c>
      <c r="E11" s="977">
        <v>31450</v>
      </c>
      <c r="F11" s="977">
        <v>31450</v>
      </c>
      <c r="G11" s="977">
        <v>31450</v>
      </c>
      <c r="H11" s="977">
        <v>31450</v>
      </c>
      <c r="I11" s="977">
        <v>31450</v>
      </c>
      <c r="J11" s="977">
        <v>31450</v>
      </c>
      <c r="K11" s="977">
        <v>31450</v>
      </c>
      <c r="L11" s="977">
        <v>31450</v>
      </c>
      <c r="M11" s="977">
        <v>31450</v>
      </c>
      <c r="N11" s="977">
        <v>31450</v>
      </c>
      <c r="O11" s="977">
        <f>31450-1</f>
        <v>31449</v>
      </c>
      <c r="P11" s="380">
        <f t="shared" si="4"/>
        <v>377399</v>
      </c>
      <c r="Q11" s="810"/>
      <c r="R11" s="657">
        <f t="shared" si="2"/>
        <v>0</v>
      </c>
      <c r="S11" s="454">
        <f t="shared" si="3"/>
        <v>31449.916666666668</v>
      </c>
      <c r="V11" s="1266" t="s">
        <v>18</v>
      </c>
      <c r="W11" s="1267">
        <f>SUM(W4:W10)</f>
        <v>158500</v>
      </c>
      <c r="X11" s="1268">
        <f>SUM(X4:X10)</f>
        <v>19600</v>
      </c>
      <c r="Y11" s="1268">
        <f>SUM(Y4:Y10)</f>
        <v>60</v>
      </c>
      <c r="Z11" s="1268">
        <f>SUM(Z4:Z10)</f>
        <v>149560</v>
      </c>
      <c r="AA11" s="1269">
        <f>SUM(AA4:AA10)</f>
        <v>38600</v>
      </c>
      <c r="AB11" s="1270">
        <f t="shared" si="0"/>
        <v>366320</v>
      </c>
      <c r="AC11" s="815"/>
    </row>
    <row r="12" spans="1:29">
      <c r="A12" s="383" t="s">
        <v>15</v>
      </c>
      <c r="B12" s="382" t="s">
        <v>534</v>
      </c>
      <c r="C12" s="379">
        <f>+'1.mell._Össz_Mérleg2019'!C58</f>
        <v>10350</v>
      </c>
      <c r="D12" s="976">
        <v>862</v>
      </c>
      <c r="E12" s="977">
        <v>862</v>
      </c>
      <c r="F12" s="977">
        <v>862</v>
      </c>
      <c r="G12" s="977">
        <v>862</v>
      </c>
      <c r="H12" s="977">
        <v>862</v>
      </c>
      <c r="I12" s="977">
        <v>862</v>
      </c>
      <c r="J12" s="977">
        <v>862</v>
      </c>
      <c r="K12" s="977">
        <v>862</v>
      </c>
      <c r="L12" s="977">
        <v>862</v>
      </c>
      <c r="M12" s="977">
        <v>862</v>
      </c>
      <c r="N12" s="977">
        <v>862</v>
      </c>
      <c r="O12" s="977">
        <f>862+6</f>
        <v>868</v>
      </c>
      <c r="P12" s="380">
        <f t="shared" si="4"/>
        <v>10350</v>
      </c>
      <c r="Q12" s="810"/>
      <c r="R12" s="657">
        <f t="shared" si="2"/>
        <v>0</v>
      </c>
      <c r="S12" s="454">
        <f t="shared" si="3"/>
        <v>862.5</v>
      </c>
      <c r="T12" s="454">
        <f>+R12/12</f>
        <v>0</v>
      </c>
      <c r="V12" s="814"/>
      <c r="W12" s="814"/>
      <c r="X12" s="814"/>
      <c r="Y12" s="814"/>
      <c r="Z12" s="814"/>
      <c r="AA12" s="814"/>
      <c r="AB12" s="814"/>
      <c r="AC12" s="815"/>
    </row>
    <row r="13" spans="1:29">
      <c r="A13" s="383" t="s">
        <v>14</v>
      </c>
      <c r="B13" s="382" t="s">
        <v>535</v>
      </c>
      <c r="C13" s="379">
        <f>+'1.mell._Össz_Mérleg2019'!C64</f>
        <v>1500</v>
      </c>
      <c r="D13" s="976">
        <v>125</v>
      </c>
      <c r="E13" s="977">
        <v>125</v>
      </c>
      <c r="F13" s="977">
        <v>125</v>
      </c>
      <c r="G13" s="977">
        <v>125</v>
      </c>
      <c r="H13" s="977">
        <v>125</v>
      </c>
      <c r="I13" s="977">
        <v>125</v>
      </c>
      <c r="J13" s="977">
        <v>125</v>
      </c>
      <c r="K13" s="977">
        <v>125</v>
      </c>
      <c r="L13" s="977">
        <v>125</v>
      </c>
      <c r="M13" s="977">
        <v>125</v>
      </c>
      <c r="N13" s="977">
        <v>125</v>
      </c>
      <c r="O13" s="977">
        <v>125</v>
      </c>
      <c r="P13" s="380">
        <f t="shared" si="4"/>
        <v>1500</v>
      </c>
      <c r="Q13" s="810"/>
      <c r="R13" s="657">
        <f t="shared" si="2"/>
        <v>0</v>
      </c>
      <c r="S13" s="454">
        <f t="shared" si="3"/>
        <v>125</v>
      </c>
      <c r="T13" s="454">
        <f>+R13/12</f>
        <v>0</v>
      </c>
      <c r="V13" s="814"/>
      <c r="W13" s="814"/>
      <c r="X13" s="814"/>
      <c r="Y13" s="814"/>
      <c r="Z13" s="814"/>
      <c r="AA13" s="814"/>
      <c r="AB13" s="814"/>
      <c r="AC13" s="815"/>
    </row>
    <row r="14" spans="1:29">
      <c r="A14" s="383" t="s">
        <v>13</v>
      </c>
      <c r="B14" s="382" t="s">
        <v>536</v>
      </c>
      <c r="C14" s="379">
        <f>+'1.mell._Össz_Mérleg2019'!C72</f>
        <v>2738772</v>
      </c>
      <c r="D14" s="976">
        <v>2738772</v>
      </c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8"/>
      <c r="P14" s="380">
        <f t="shared" si="4"/>
        <v>2738772</v>
      </c>
      <c r="Q14" s="810"/>
      <c r="R14" s="657">
        <f t="shared" si="2"/>
        <v>0</v>
      </c>
      <c r="S14" s="454">
        <f t="shared" si="3"/>
        <v>228231</v>
      </c>
      <c r="V14" s="815"/>
      <c r="W14" s="815"/>
      <c r="X14" s="815"/>
      <c r="Y14" s="815"/>
      <c r="Z14" s="815"/>
      <c r="AA14" s="815"/>
      <c r="AB14" s="815"/>
      <c r="AC14" s="815"/>
    </row>
    <row r="15" spans="1:29" ht="12.75" thickBot="1">
      <c r="A15" s="383" t="s">
        <v>12</v>
      </c>
      <c r="B15" s="382" t="s">
        <v>537</v>
      </c>
      <c r="C15" s="379">
        <f>+'1.mell._Össz_Mérleg2019'!C87</f>
        <v>9999</v>
      </c>
      <c r="D15" s="976"/>
      <c r="E15" s="977"/>
      <c r="F15" s="977"/>
      <c r="G15" s="977"/>
      <c r="H15" s="977"/>
      <c r="I15" s="977"/>
      <c r="J15" s="977"/>
      <c r="K15" s="977"/>
      <c r="L15" s="977">
        <v>9999</v>
      </c>
      <c r="M15" s="977"/>
      <c r="N15" s="977"/>
      <c r="O15" s="978"/>
      <c r="P15" s="380">
        <f t="shared" si="4"/>
        <v>9999</v>
      </c>
      <c r="Q15" s="810"/>
      <c r="R15" s="657">
        <f t="shared" si="2"/>
        <v>0</v>
      </c>
      <c r="S15" s="454">
        <f t="shared" si="3"/>
        <v>833.25</v>
      </c>
      <c r="V15" s="815"/>
      <c r="W15" s="815"/>
      <c r="X15" s="815"/>
      <c r="Y15" s="815"/>
      <c r="Z15" s="815"/>
      <c r="AA15" s="815"/>
      <c r="AB15" s="815"/>
      <c r="AC15" s="815"/>
    </row>
    <row r="16" spans="1:29" ht="12.75" thickBot="1">
      <c r="A16" s="398" t="s">
        <v>11</v>
      </c>
      <c r="B16" s="393" t="s">
        <v>527</v>
      </c>
      <c r="C16" s="393">
        <f>SUM(C7:C15)</f>
        <v>4623219</v>
      </c>
      <c r="D16" s="400">
        <f t="shared" ref="D16:P16" si="5">SUM(D7:D15)</f>
        <v>2880375</v>
      </c>
      <c r="E16" s="401">
        <f t="shared" si="5"/>
        <v>111443</v>
      </c>
      <c r="F16" s="401">
        <f t="shared" si="5"/>
        <v>269943</v>
      </c>
      <c r="G16" s="401">
        <f t="shared" si="5"/>
        <v>111443</v>
      </c>
      <c r="H16" s="401">
        <f t="shared" si="5"/>
        <v>131043</v>
      </c>
      <c r="I16" s="401">
        <f t="shared" si="5"/>
        <v>179765</v>
      </c>
      <c r="J16" s="401">
        <f t="shared" si="5"/>
        <v>111503</v>
      </c>
      <c r="K16" s="401">
        <f t="shared" si="5"/>
        <v>111443</v>
      </c>
      <c r="L16" s="401">
        <f t="shared" si="5"/>
        <v>271002</v>
      </c>
      <c r="M16" s="401">
        <f t="shared" si="5"/>
        <v>115443</v>
      </c>
      <c r="N16" s="401">
        <f t="shared" si="5"/>
        <v>111443</v>
      </c>
      <c r="O16" s="393">
        <f t="shared" si="5"/>
        <v>218373</v>
      </c>
      <c r="P16" s="402">
        <f t="shared" si="5"/>
        <v>4623219</v>
      </c>
      <c r="Q16" s="810"/>
      <c r="R16" s="657">
        <f>+C16-P16</f>
        <v>0</v>
      </c>
      <c r="V16" s="815"/>
      <c r="W16" s="815"/>
      <c r="X16" s="815"/>
      <c r="Y16" s="815"/>
      <c r="Z16" s="815"/>
      <c r="AA16" s="815"/>
      <c r="AB16" s="815"/>
      <c r="AC16" s="815"/>
    </row>
    <row r="17" spans="1:29" ht="12.75" thickBot="1">
      <c r="A17" s="403"/>
      <c r="B17" s="1494" t="s">
        <v>528</v>
      </c>
      <c r="C17" s="1495"/>
      <c r="D17" s="1498"/>
      <c r="E17" s="1498"/>
      <c r="F17" s="1498"/>
      <c r="G17" s="1498"/>
      <c r="H17" s="1498"/>
      <c r="I17" s="1498"/>
      <c r="J17" s="1498"/>
      <c r="K17" s="1498"/>
      <c r="L17" s="1498"/>
      <c r="M17" s="1498"/>
      <c r="N17" s="1498"/>
      <c r="O17" s="1498"/>
      <c r="P17" s="1497"/>
      <c r="Q17" s="1008"/>
      <c r="V17" s="815"/>
      <c r="W17" s="815"/>
      <c r="X17" s="815"/>
      <c r="Y17" s="815"/>
      <c r="Z17" s="815"/>
      <c r="AA17" s="815"/>
      <c r="AB17" s="815"/>
      <c r="AC17" s="815"/>
    </row>
    <row r="18" spans="1:29">
      <c r="A18" s="387" t="s">
        <v>10</v>
      </c>
      <c r="B18" s="386" t="s">
        <v>446</v>
      </c>
      <c r="C18" s="385">
        <f>+'1.mell._Össz_Mérleg2019'!C110</f>
        <v>655870</v>
      </c>
      <c r="D18" s="1241">
        <v>54655</v>
      </c>
      <c r="E18" s="1242">
        <v>54655</v>
      </c>
      <c r="F18" s="1242">
        <v>54655</v>
      </c>
      <c r="G18" s="1242">
        <v>54655</v>
      </c>
      <c r="H18" s="1242">
        <v>54655</v>
      </c>
      <c r="I18" s="1242">
        <v>54655</v>
      </c>
      <c r="J18" s="1242">
        <v>54655</v>
      </c>
      <c r="K18" s="1242">
        <v>54655</v>
      </c>
      <c r="L18" s="1242">
        <v>54655</v>
      </c>
      <c r="M18" s="1242">
        <v>54655</v>
      </c>
      <c r="N18" s="1242">
        <v>54655</v>
      </c>
      <c r="O18" s="1242">
        <f>54655+10</f>
        <v>54665</v>
      </c>
      <c r="P18" s="384">
        <f t="shared" ref="P18:P27" si="6">SUM(D18:O18)</f>
        <v>655870</v>
      </c>
      <c r="Q18" s="810"/>
      <c r="R18" s="657">
        <f>+C18-P18</f>
        <v>0</v>
      </c>
      <c r="S18" s="454">
        <f>+C18/12</f>
        <v>54655.833333333336</v>
      </c>
      <c r="T18" s="454">
        <f>+R18/12</f>
        <v>0</v>
      </c>
      <c r="W18" s="815"/>
      <c r="X18" s="815"/>
      <c r="Y18" s="815"/>
      <c r="Z18" s="815"/>
      <c r="AA18" s="815"/>
      <c r="AB18" s="815"/>
    </row>
    <row r="19" spans="1:29">
      <c r="A19" s="383" t="s">
        <v>9</v>
      </c>
      <c r="B19" s="382" t="s">
        <v>447</v>
      </c>
      <c r="C19" s="379">
        <f>+'1.mell._Össz_Mérleg2019'!C114</f>
        <v>131505</v>
      </c>
      <c r="D19" s="976">
        <v>10959</v>
      </c>
      <c r="E19" s="977">
        <v>10959</v>
      </c>
      <c r="F19" s="977">
        <v>10959</v>
      </c>
      <c r="G19" s="977">
        <v>10959</v>
      </c>
      <c r="H19" s="977">
        <v>10959</v>
      </c>
      <c r="I19" s="977">
        <v>10959</v>
      </c>
      <c r="J19" s="977">
        <v>10959</v>
      </c>
      <c r="K19" s="977">
        <v>10959</v>
      </c>
      <c r="L19" s="977">
        <v>10959</v>
      </c>
      <c r="M19" s="977">
        <v>10959</v>
      </c>
      <c r="N19" s="977">
        <v>10959</v>
      </c>
      <c r="O19" s="977">
        <f>10959-3</f>
        <v>10956</v>
      </c>
      <c r="P19" s="380">
        <f t="shared" si="6"/>
        <v>131505</v>
      </c>
      <c r="Q19" s="810"/>
      <c r="R19" s="657">
        <f t="shared" ref="R19:R30" si="7">+C19-P19</f>
        <v>0</v>
      </c>
      <c r="S19" s="454">
        <f t="shared" ref="S19:S27" si="8">+C19/12</f>
        <v>10958.75</v>
      </c>
      <c r="T19" s="454">
        <f>+R19/12</f>
        <v>0</v>
      </c>
    </row>
    <row r="20" spans="1:29">
      <c r="A20" s="383" t="s">
        <v>45</v>
      </c>
      <c r="B20" s="382" t="s">
        <v>448</v>
      </c>
      <c r="C20" s="379">
        <f>+'1.mell._Össz_Mérleg2019'!C116</f>
        <v>391454</v>
      </c>
      <c r="D20" s="976">
        <v>32621</v>
      </c>
      <c r="E20" s="977">
        <v>32621</v>
      </c>
      <c r="F20" s="977">
        <v>32621</v>
      </c>
      <c r="G20" s="977">
        <v>32621</v>
      </c>
      <c r="H20" s="977">
        <v>32621</v>
      </c>
      <c r="I20" s="977">
        <v>32621</v>
      </c>
      <c r="J20" s="977">
        <v>32621</v>
      </c>
      <c r="K20" s="977">
        <v>32621</v>
      </c>
      <c r="L20" s="977">
        <v>32621</v>
      </c>
      <c r="M20" s="977">
        <v>32621</v>
      </c>
      <c r="N20" s="977">
        <v>32621</v>
      </c>
      <c r="O20" s="977">
        <f>32621+2</f>
        <v>32623</v>
      </c>
      <c r="P20" s="380">
        <f t="shared" si="6"/>
        <v>391454</v>
      </c>
      <c r="Q20" s="810"/>
      <c r="R20" s="657">
        <f t="shared" si="7"/>
        <v>0</v>
      </c>
      <c r="S20" s="454">
        <f t="shared" si="8"/>
        <v>32621.166666666668</v>
      </c>
      <c r="T20" s="454">
        <f>+R20/12</f>
        <v>0</v>
      </c>
    </row>
    <row r="21" spans="1:29">
      <c r="A21" s="383" t="s">
        <v>44</v>
      </c>
      <c r="B21" s="382" t="s">
        <v>449</v>
      </c>
      <c r="C21" s="379">
        <f>+'1.mell._Össz_Mérleg2019'!C123</f>
        <v>57543</v>
      </c>
      <c r="D21" s="976">
        <v>4795</v>
      </c>
      <c r="E21" s="977">
        <v>4795</v>
      </c>
      <c r="F21" s="977">
        <v>4795</v>
      </c>
      <c r="G21" s="977">
        <v>4795</v>
      </c>
      <c r="H21" s="977">
        <v>4795</v>
      </c>
      <c r="I21" s="977">
        <v>4795</v>
      </c>
      <c r="J21" s="977">
        <v>4795</v>
      </c>
      <c r="K21" s="977">
        <v>4795</v>
      </c>
      <c r="L21" s="977">
        <v>4795</v>
      </c>
      <c r="M21" s="977">
        <v>4795</v>
      </c>
      <c r="N21" s="977">
        <v>4795</v>
      </c>
      <c r="O21" s="977">
        <f>4795+3</f>
        <v>4798</v>
      </c>
      <c r="P21" s="380">
        <f t="shared" si="6"/>
        <v>57543</v>
      </c>
      <c r="Q21" s="810"/>
      <c r="R21" s="657">
        <f t="shared" si="7"/>
        <v>0</v>
      </c>
      <c r="S21" s="454">
        <f t="shared" si="8"/>
        <v>4795.25</v>
      </c>
      <c r="T21" s="454">
        <f>+R21/12</f>
        <v>0</v>
      </c>
    </row>
    <row r="22" spans="1:29">
      <c r="A22" s="383" t="s">
        <v>43</v>
      </c>
      <c r="B22" s="382" t="s">
        <v>450</v>
      </c>
      <c r="C22" s="379">
        <f>+'1.mell._Össz_Mérleg2019'!C132</f>
        <v>2874202</v>
      </c>
      <c r="D22" s="977"/>
      <c r="E22" s="977"/>
      <c r="F22" s="977">
        <v>718550</v>
      </c>
      <c r="G22" s="977"/>
      <c r="H22" s="977"/>
      <c r="I22" s="977">
        <v>718550</v>
      </c>
      <c r="J22" s="977"/>
      <c r="K22" s="977"/>
      <c r="L22" s="977">
        <v>718550</v>
      </c>
      <c r="M22" s="977"/>
      <c r="N22" s="977"/>
      <c r="O22" s="977">
        <f>718550+2</f>
        <v>718552</v>
      </c>
      <c r="P22" s="380">
        <f t="shared" si="6"/>
        <v>2874202</v>
      </c>
      <c r="Q22" s="810"/>
      <c r="R22" s="657">
        <f t="shared" si="7"/>
        <v>0</v>
      </c>
      <c r="S22" s="454">
        <f t="shared" si="8"/>
        <v>239516.83333333334</v>
      </c>
      <c r="T22" s="454">
        <f>+R22/12</f>
        <v>0</v>
      </c>
      <c r="U22" s="454">
        <f>+R22/4</f>
        <v>0</v>
      </c>
    </row>
    <row r="23" spans="1:29">
      <c r="A23" s="383" t="s">
        <v>40</v>
      </c>
      <c r="B23" s="382" t="s">
        <v>451</v>
      </c>
      <c r="C23" s="379">
        <f>+'1.mell._Össz_Mérleg2019'!C150</f>
        <v>466298</v>
      </c>
      <c r="D23" s="976"/>
      <c r="E23" s="977"/>
      <c r="F23" s="977">
        <v>116575</v>
      </c>
      <c r="G23" s="977"/>
      <c r="H23" s="977"/>
      <c r="I23" s="977">
        <v>116575</v>
      </c>
      <c r="J23" s="977"/>
      <c r="K23" s="977"/>
      <c r="L23" s="977">
        <v>116575</v>
      </c>
      <c r="M23" s="977"/>
      <c r="N23" s="977"/>
      <c r="O23" s="977">
        <f>116575-2</f>
        <v>116573</v>
      </c>
      <c r="P23" s="380">
        <f t="shared" si="6"/>
        <v>466298</v>
      </c>
      <c r="Q23" s="810"/>
      <c r="R23" s="657">
        <f t="shared" si="7"/>
        <v>0</v>
      </c>
      <c r="S23" s="454">
        <f t="shared" si="8"/>
        <v>38858.166666666664</v>
      </c>
      <c r="T23" s="454">
        <f>+R23/4</f>
        <v>0</v>
      </c>
    </row>
    <row r="24" spans="1:29">
      <c r="A24" s="383" t="s">
        <v>39</v>
      </c>
      <c r="B24" s="382" t="s">
        <v>452</v>
      </c>
      <c r="C24" s="379">
        <f>+'1.mell._Össz_Mérleg2019'!C159</f>
        <v>19676</v>
      </c>
      <c r="D24" s="976"/>
      <c r="E24" s="977"/>
      <c r="F24" s="977">
        <v>4919</v>
      </c>
      <c r="G24" s="977"/>
      <c r="H24" s="977"/>
      <c r="I24" s="977">
        <v>4919</v>
      </c>
      <c r="J24" s="977"/>
      <c r="K24" s="977"/>
      <c r="L24" s="977">
        <v>4919</v>
      </c>
      <c r="M24" s="977"/>
      <c r="N24" s="977"/>
      <c r="O24" s="977">
        <v>4919</v>
      </c>
      <c r="P24" s="380">
        <f t="shared" si="6"/>
        <v>19676</v>
      </c>
      <c r="Q24" s="810"/>
      <c r="R24" s="657">
        <f t="shared" si="7"/>
        <v>0</v>
      </c>
      <c r="S24" s="454">
        <f t="shared" si="8"/>
        <v>1639.6666666666667</v>
      </c>
      <c r="T24" s="454">
        <f>+R24/4</f>
        <v>0</v>
      </c>
    </row>
    <row r="25" spans="1:29">
      <c r="A25" s="383" t="s">
        <v>38</v>
      </c>
      <c r="B25" s="382" t="s">
        <v>453</v>
      </c>
      <c r="C25" s="379">
        <f>+'1.mell._Össz_Mérleg2019'!C165</f>
        <v>0</v>
      </c>
      <c r="D25" s="976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978"/>
      <c r="P25" s="380">
        <f t="shared" si="6"/>
        <v>0</v>
      </c>
      <c r="Q25" s="810"/>
      <c r="R25" s="657">
        <f t="shared" si="7"/>
        <v>0</v>
      </c>
      <c r="S25" s="454">
        <f t="shared" si="8"/>
        <v>0</v>
      </c>
    </row>
    <row r="26" spans="1:29">
      <c r="A26" s="383" t="s">
        <v>36</v>
      </c>
      <c r="B26" s="382" t="s">
        <v>538</v>
      </c>
      <c r="C26" s="379">
        <f>+'1.mell._Össz_Mérleg2019'!C178</f>
        <v>26671</v>
      </c>
      <c r="D26" s="976">
        <v>26671</v>
      </c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8"/>
      <c r="P26" s="380">
        <f t="shared" si="6"/>
        <v>26671</v>
      </c>
      <c r="Q26" s="810"/>
      <c r="R26" s="657">
        <f t="shared" si="7"/>
        <v>0</v>
      </c>
      <c r="S26" s="454">
        <f t="shared" si="8"/>
        <v>2222.5833333333335</v>
      </c>
    </row>
    <row r="27" spans="1:29" ht="12.75" thickBot="1">
      <c r="A27" s="412" t="s">
        <v>35</v>
      </c>
      <c r="B27" s="413" t="s">
        <v>539</v>
      </c>
      <c r="C27" s="378">
        <f>+'1.mell._Össz_Mérleg2019'!C193</f>
        <v>0</v>
      </c>
      <c r="D27" s="1243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5"/>
      <c r="P27" s="816">
        <f t="shared" si="6"/>
        <v>0</v>
      </c>
      <c r="Q27" s="810"/>
      <c r="R27" s="657">
        <f t="shared" si="7"/>
        <v>0</v>
      </c>
      <c r="S27" s="454">
        <f t="shared" si="8"/>
        <v>0</v>
      </c>
    </row>
    <row r="28" spans="1:29" ht="12.75" thickBot="1">
      <c r="A28" s="398" t="s">
        <v>34</v>
      </c>
      <c r="B28" s="393" t="s">
        <v>529</v>
      </c>
      <c r="C28" s="393">
        <f>SUM(C18:C27)</f>
        <v>4623219</v>
      </c>
      <c r="D28" s="401">
        <f t="shared" ref="D28:P28" si="9">SUM(D18:D27)</f>
        <v>129701</v>
      </c>
      <c r="E28" s="401">
        <f t="shared" si="9"/>
        <v>103030</v>
      </c>
      <c r="F28" s="401">
        <f t="shared" si="9"/>
        <v>943074</v>
      </c>
      <c r="G28" s="401">
        <f t="shared" si="9"/>
        <v>103030</v>
      </c>
      <c r="H28" s="401">
        <f t="shared" si="9"/>
        <v>103030</v>
      </c>
      <c r="I28" s="401">
        <f t="shared" si="9"/>
        <v>943074</v>
      </c>
      <c r="J28" s="401">
        <f t="shared" si="9"/>
        <v>103030</v>
      </c>
      <c r="K28" s="401">
        <f t="shared" si="9"/>
        <v>103030</v>
      </c>
      <c r="L28" s="401">
        <f t="shared" si="9"/>
        <v>943074</v>
      </c>
      <c r="M28" s="401">
        <f t="shared" si="9"/>
        <v>103030</v>
      </c>
      <c r="N28" s="401">
        <f t="shared" si="9"/>
        <v>103030</v>
      </c>
      <c r="O28" s="399">
        <f t="shared" si="9"/>
        <v>943086</v>
      </c>
      <c r="P28" s="404">
        <f t="shared" si="9"/>
        <v>4623219</v>
      </c>
      <c r="Q28" s="810"/>
      <c r="R28" s="657">
        <f t="shared" si="7"/>
        <v>0</v>
      </c>
    </row>
    <row r="29" spans="1:29" ht="12.75" thickBot="1">
      <c r="A29" s="405" t="s">
        <v>33</v>
      </c>
      <c r="B29" s="394" t="s">
        <v>540</v>
      </c>
      <c r="C29" s="407">
        <f>+C16-C28</f>
        <v>0</v>
      </c>
      <c r="D29" s="408">
        <f t="shared" ref="D29:P29" si="10">+D16-D28</f>
        <v>2750674</v>
      </c>
      <c r="E29" s="408">
        <f t="shared" si="10"/>
        <v>8413</v>
      </c>
      <c r="F29" s="408">
        <f t="shared" si="10"/>
        <v>-673131</v>
      </c>
      <c r="G29" s="408">
        <f t="shared" si="10"/>
        <v>8413</v>
      </c>
      <c r="H29" s="408">
        <f t="shared" si="10"/>
        <v>28013</v>
      </c>
      <c r="I29" s="408">
        <f t="shared" si="10"/>
        <v>-763309</v>
      </c>
      <c r="J29" s="408">
        <f t="shared" si="10"/>
        <v>8473</v>
      </c>
      <c r="K29" s="408">
        <f t="shared" si="10"/>
        <v>8413</v>
      </c>
      <c r="L29" s="408">
        <f t="shared" si="10"/>
        <v>-672072</v>
      </c>
      <c r="M29" s="408">
        <f t="shared" si="10"/>
        <v>12413</v>
      </c>
      <c r="N29" s="408">
        <f t="shared" si="10"/>
        <v>8413</v>
      </c>
      <c r="O29" s="406">
        <f t="shared" si="10"/>
        <v>-724713</v>
      </c>
      <c r="P29" s="409">
        <f t="shared" si="10"/>
        <v>0</v>
      </c>
      <c r="Q29" s="811"/>
      <c r="R29" s="657">
        <f t="shared" si="7"/>
        <v>0</v>
      </c>
    </row>
    <row r="30" spans="1:29" ht="12.75" thickBot="1">
      <c r="A30" s="405" t="s">
        <v>32</v>
      </c>
      <c r="B30" s="394" t="s">
        <v>541</v>
      </c>
      <c r="C30" s="407">
        <f>+C29</f>
        <v>0</v>
      </c>
      <c r="D30" s="408">
        <f>+D29</f>
        <v>2750674</v>
      </c>
      <c r="E30" s="408">
        <f>+D30+E29</f>
        <v>2759087</v>
      </c>
      <c r="F30" s="408">
        <f t="shared" ref="F30:O30" si="11">+E30+F29</f>
        <v>2085956</v>
      </c>
      <c r="G30" s="408">
        <f t="shared" si="11"/>
        <v>2094369</v>
      </c>
      <c r="H30" s="408">
        <f t="shared" si="11"/>
        <v>2122382</v>
      </c>
      <c r="I30" s="408">
        <f t="shared" si="11"/>
        <v>1359073</v>
      </c>
      <c r="J30" s="408">
        <f t="shared" si="11"/>
        <v>1367546</v>
      </c>
      <c r="K30" s="408">
        <f t="shared" si="11"/>
        <v>1375959</v>
      </c>
      <c r="L30" s="408">
        <f t="shared" si="11"/>
        <v>703887</v>
      </c>
      <c r="M30" s="408">
        <f t="shared" si="11"/>
        <v>716300</v>
      </c>
      <c r="N30" s="408">
        <f t="shared" si="11"/>
        <v>724713</v>
      </c>
      <c r="O30" s="406">
        <f t="shared" si="11"/>
        <v>0</v>
      </c>
      <c r="P30" s="409">
        <f>+P29</f>
        <v>0</v>
      </c>
      <c r="Q30" s="811"/>
      <c r="R30" s="657">
        <f t="shared" si="7"/>
        <v>0</v>
      </c>
    </row>
    <row r="31" spans="1:29">
      <c r="A31" s="975"/>
      <c r="B31" s="975"/>
      <c r="C31" s="975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975"/>
      <c r="Q31" s="975"/>
    </row>
    <row r="32" spans="1:29">
      <c r="A32" s="975"/>
      <c r="B32" s="975"/>
      <c r="C32" s="975"/>
      <c r="D32" s="975"/>
      <c r="E32" s="975"/>
      <c r="F32" s="975"/>
      <c r="G32" s="975"/>
      <c r="H32" s="975"/>
      <c r="I32" s="975"/>
      <c r="J32" s="975"/>
      <c r="K32" s="1271"/>
      <c r="L32" s="1271"/>
      <c r="M32" s="975"/>
      <c r="N32" s="975"/>
      <c r="O32" s="975"/>
      <c r="P32" s="975"/>
      <c r="Q32" s="975"/>
    </row>
    <row r="33" spans="1:17">
      <c r="A33" s="975"/>
      <c r="B33" s="975"/>
      <c r="C33" s="975"/>
      <c r="D33" s="975"/>
      <c r="E33" s="975"/>
      <c r="F33" s="975"/>
      <c r="G33" s="975"/>
      <c r="H33" s="975"/>
      <c r="I33" s="975"/>
      <c r="J33" s="975"/>
      <c r="K33" s="1271"/>
      <c r="L33" s="1271"/>
      <c r="M33" s="975"/>
      <c r="N33" s="975"/>
      <c r="O33" s="975"/>
      <c r="P33" s="975"/>
      <c r="Q33" s="975"/>
    </row>
    <row r="34" spans="1:17">
      <c r="A34" s="975"/>
      <c r="B34" s="975"/>
      <c r="C34" s="975"/>
      <c r="D34" s="975"/>
      <c r="E34" s="975"/>
      <c r="F34" s="975"/>
      <c r="G34" s="975"/>
      <c r="H34" s="975"/>
      <c r="I34" s="975"/>
      <c r="J34" s="975"/>
      <c r="K34" s="1271"/>
      <c r="L34" s="1271"/>
      <c r="M34" s="975"/>
      <c r="N34" s="975"/>
      <c r="O34" s="975"/>
      <c r="P34" s="975"/>
      <c r="Q34" s="975"/>
    </row>
    <row r="35" spans="1:17">
      <c r="A35" s="975"/>
      <c r="B35" s="975"/>
      <c r="C35" s="975"/>
      <c r="D35" s="975"/>
      <c r="E35" s="975"/>
      <c r="F35" s="975"/>
      <c r="G35" s="975"/>
      <c r="H35" s="975"/>
      <c r="I35" s="975"/>
      <c r="J35" s="975"/>
      <c r="K35" s="1271"/>
      <c r="L35" s="1271"/>
      <c r="M35" s="975"/>
      <c r="N35" s="975"/>
      <c r="O35" s="975"/>
      <c r="P35" s="975"/>
      <c r="Q35" s="975"/>
    </row>
    <row r="36" spans="1:17">
      <c r="A36" s="975"/>
      <c r="B36" s="975"/>
      <c r="C36" s="975"/>
      <c r="D36" s="975"/>
      <c r="E36" s="975"/>
      <c r="F36" s="975"/>
      <c r="G36" s="975"/>
      <c r="H36" s="975"/>
      <c r="I36" s="975"/>
      <c r="J36" s="975"/>
      <c r="K36" s="1271"/>
      <c r="L36" s="1271"/>
      <c r="M36" s="975"/>
      <c r="N36" s="975"/>
      <c r="O36" s="975"/>
      <c r="P36" s="975"/>
      <c r="Q36" s="975"/>
    </row>
    <row r="37" spans="1:17">
      <c r="A37" s="975"/>
      <c r="B37" s="975"/>
      <c r="C37" s="975"/>
      <c r="D37" s="975"/>
      <c r="E37" s="975"/>
      <c r="F37" s="975"/>
      <c r="G37" s="975"/>
      <c r="H37" s="975"/>
      <c r="I37" s="975"/>
      <c r="J37" s="975"/>
      <c r="K37" s="1271"/>
      <c r="L37" s="1271"/>
      <c r="M37" s="975"/>
      <c r="N37" s="975"/>
      <c r="O37" s="975"/>
      <c r="P37" s="975"/>
      <c r="Q37" s="975"/>
    </row>
    <row r="38" spans="1:17">
      <c r="D38" s="975"/>
      <c r="E38" s="975"/>
      <c r="F38" s="975"/>
      <c r="G38" s="975"/>
      <c r="H38" s="975"/>
      <c r="I38" s="975"/>
      <c r="J38" s="975"/>
      <c r="K38" s="1271"/>
      <c r="L38" s="1271"/>
    </row>
    <row r="39" spans="1:17">
      <c r="D39" s="410"/>
      <c r="E39" s="410"/>
      <c r="F39" s="410"/>
      <c r="G39" s="410"/>
      <c r="H39" s="410"/>
      <c r="I39" s="410"/>
      <c r="J39" s="410"/>
      <c r="K39" s="1271"/>
      <c r="L39" s="1271"/>
    </row>
  </sheetData>
  <mergeCells count="3">
    <mergeCell ref="A3:P3"/>
    <mergeCell ref="B6:P6"/>
    <mergeCell ref="B17:P17"/>
  </mergeCells>
  <printOptions horizontalCentered="1"/>
  <pageMargins left="0.39370078740157483" right="0.39370078740157483" top="0.39370078740157483" bottom="0.39370078740157483" header="0.19685039370078741" footer="0.19685039370078741"/>
  <pageSetup scale="69" orientation="landscape" horizontalDpi="200" verticalDpi="200" r:id="rId1"/>
  <colBreaks count="1" manualBreakCount="1">
    <brk id="16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2">
    <tabColor rgb="FF00B0F0"/>
  </sheetPr>
  <dimension ref="A1:AB264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5" width="9.28515625" style="141" customWidth="1"/>
    <col min="6" max="6" width="9.140625" style="141"/>
    <col min="7" max="9" width="0" style="141" hidden="1" customWidth="1"/>
    <col min="10" max="16384" width="9.140625" style="141"/>
  </cols>
  <sheetData>
    <row r="1" spans="1:28" s="1100" customFormat="1" ht="15.75">
      <c r="E1" s="1101" t="s">
        <v>429</v>
      </c>
    </row>
    <row r="2" spans="1:28" s="1100" customFormat="1" ht="15.75"/>
    <row r="3" spans="1:28" s="1102" customFormat="1" ht="15.75">
      <c r="A3" s="1441" t="s">
        <v>331</v>
      </c>
      <c r="B3" s="1441"/>
      <c r="C3" s="1441"/>
      <c r="D3" s="1441"/>
      <c r="E3" s="1441"/>
    </row>
    <row r="4" spans="1:28" s="1102" customFormat="1" ht="15.75">
      <c r="A4" s="1441" t="s">
        <v>1316</v>
      </c>
      <c r="B4" s="1441"/>
      <c r="C4" s="1441"/>
      <c r="D4" s="1441"/>
      <c r="E4" s="1441"/>
    </row>
    <row r="5" spans="1:28" s="1100" customFormat="1" ht="15.75">
      <c r="A5" s="1499" t="s">
        <v>542</v>
      </c>
      <c r="B5" s="1499"/>
      <c r="C5" s="1499"/>
      <c r="D5" s="1499"/>
      <c r="E5" s="1499"/>
      <c r="F5" s="416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</row>
    <row r="6" spans="1:28" s="1102" customFormat="1" ht="15.75">
      <c r="A6" s="1441" t="s">
        <v>48</v>
      </c>
      <c r="B6" s="1441"/>
      <c r="C6" s="1441"/>
      <c r="D6" s="1441"/>
      <c r="E6" s="1441"/>
    </row>
    <row r="7" spans="1:28" s="1104" customFormat="1" ht="12.75" thickBot="1">
      <c r="A7" s="1103" t="s">
        <v>280</v>
      </c>
      <c r="E7" s="1105" t="s">
        <v>281</v>
      </c>
    </row>
    <row r="8" spans="1:28" s="1112" customFormat="1" ht="54" customHeight="1" thickBot="1">
      <c r="A8" s="1106" t="s">
        <v>17</v>
      </c>
      <c r="B8" s="1146" t="s">
        <v>328</v>
      </c>
      <c r="C8" s="1280" t="s">
        <v>1333</v>
      </c>
      <c r="D8" s="1111" t="s">
        <v>1332</v>
      </c>
      <c r="E8" s="1108" t="s">
        <v>1317</v>
      </c>
    </row>
    <row r="9" spans="1:28" s="143" customFormat="1" ht="12.75" thickBot="1">
      <c r="A9" s="1113" t="s">
        <v>253</v>
      </c>
      <c r="B9" s="1281" t="s">
        <v>254</v>
      </c>
      <c r="C9" s="1282" t="s">
        <v>255</v>
      </c>
      <c r="D9" s="1283" t="s">
        <v>361</v>
      </c>
      <c r="E9" s="1284" t="s">
        <v>362</v>
      </c>
    </row>
    <row r="10" spans="1:28" s="143" customFormat="1" ht="12.75" thickBot="1">
      <c r="A10" s="1115" t="s">
        <v>4</v>
      </c>
      <c r="B10" s="1116" t="s">
        <v>297</v>
      </c>
      <c r="C10" s="1285">
        <f>+C11+C25+C32+C44</f>
        <v>1723144</v>
      </c>
      <c r="D10" s="1286">
        <f>+D11+D25+D32+D44</f>
        <v>2076198</v>
      </c>
      <c r="E10" s="1287">
        <f>+E11+E25+E32+E44</f>
        <v>1485199</v>
      </c>
    </row>
    <row r="11" spans="1:28" s="143" customFormat="1" ht="12.75" customHeight="1" thickBot="1">
      <c r="A11" s="1113" t="s">
        <v>5</v>
      </c>
      <c r="B11" s="1121" t="s">
        <v>298</v>
      </c>
      <c r="C11" s="1288">
        <f>+C12+C19+C20+C21+C22+C23</f>
        <v>1247972</v>
      </c>
      <c r="D11" s="133">
        <f>+D12+D19+D20+D21+D22+D23</f>
        <v>1592230</v>
      </c>
      <c r="E11" s="1289">
        <f>+E12+E19+E20+E21+E22+E23</f>
        <v>962806</v>
      </c>
    </row>
    <row r="12" spans="1:28" s="143" customFormat="1">
      <c r="A12" s="1122" t="s">
        <v>54</v>
      </c>
      <c r="B12" s="135" t="s">
        <v>299</v>
      </c>
      <c r="C12" s="1290">
        <f>+C13+C14+C15+C16+C17+C18</f>
        <v>792240</v>
      </c>
      <c r="D12" s="139">
        <f>+D13+D14+D15+D16+D17+D18</f>
        <v>789695</v>
      </c>
      <c r="E12" s="1291">
        <f>+E13+E14+E15+E16+E17+E18</f>
        <v>888836</v>
      </c>
    </row>
    <row r="13" spans="1:28" s="140" customFormat="1">
      <c r="A13" s="127" t="s">
        <v>190</v>
      </c>
      <c r="B13" s="128" t="s">
        <v>93</v>
      </c>
      <c r="C13" s="1292">
        <v>230199</v>
      </c>
      <c r="D13" s="771">
        <v>231822</v>
      </c>
      <c r="E13" s="909">
        <f>+'1.mell._Össz_Mérleg2019'!C13</f>
        <v>221900</v>
      </c>
      <c r="F13" s="143"/>
      <c r="G13" s="143"/>
    </row>
    <row r="14" spans="1:28" s="140" customFormat="1">
      <c r="A14" s="127" t="s">
        <v>191</v>
      </c>
      <c r="B14" s="128" t="s">
        <v>94</v>
      </c>
      <c r="C14" s="1292">
        <v>226163</v>
      </c>
      <c r="D14" s="771">
        <v>223149</v>
      </c>
      <c r="E14" s="909">
        <f>+'1.mell._Össz_Mérleg2019'!C14</f>
        <v>232153</v>
      </c>
      <c r="F14" s="143"/>
      <c r="G14" s="143"/>
    </row>
    <row r="15" spans="1:28" s="140" customFormat="1">
      <c r="A15" s="127" t="s">
        <v>192</v>
      </c>
      <c r="B15" s="128" t="s">
        <v>95</v>
      </c>
      <c r="C15" s="1292">
        <v>263714</v>
      </c>
      <c r="D15" s="771">
        <v>254533</v>
      </c>
      <c r="E15" s="909">
        <f>+'1.mell._Össz_Mérleg2019'!C15</f>
        <v>280259</v>
      </c>
      <c r="F15" s="143"/>
      <c r="G15" s="143"/>
    </row>
    <row r="16" spans="1:28" s="140" customFormat="1">
      <c r="A16" s="127" t="s">
        <v>193</v>
      </c>
      <c r="B16" s="128" t="s">
        <v>96</v>
      </c>
      <c r="C16" s="1292">
        <v>18880</v>
      </c>
      <c r="D16" s="771">
        <v>21839</v>
      </c>
      <c r="E16" s="909">
        <f>+'1.mell._Össz_Mérleg2019'!C16</f>
        <v>19679</v>
      </c>
      <c r="F16" s="143"/>
      <c r="G16" s="143"/>
    </row>
    <row r="17" spans="1:7" s="140" customFormat="1">
      <c r="A17" s="127" t="s">
        <v>194</v>
      </c>
      <c r="B17" s="128" t="s">
        <v>905</v>
      </c>
      <c r="C17" s="1292">
        <v>51690</v>
      </c>
      <c r="D17" s="771">
        <v>58352</v>
      </c>
      <c r="E17" s="909">
        <f>+'1.mell._Össz_Mérleg2019'!C17</f>
        <v>134845</v>
      </c>
      <c r="F17" s="143"/>
      <c r="G17" s="143"/>
    </row>
    <row r="18" spans="1:7" s="140" customFormat="1">
      <c r="A18" s="127" t="s">
        <v>195</v>
      </c>
      <c r="B18" s="128" t="s">
        <v>906</v>
      </c>
      <c r="C18" s="1292">
        <v>1594</v>
      </c>
      <c r="D18" s="771"/>
      <c r="E18" s="909">
        <f>+'1.mell._Össz_Mérleg2019'!C18</f>
        <v>0</v>
      </c>
      <c r="F18" s="143"/>
      <c r="G18" s="143"/>
    </row>
    <row r="19" spans="1:7">
      <c r="A19" s="1126" t="s">
        <v>55</v>
      </c>
      <c r="B19" s="1127" t="s">
        <v>97</v>
      </c>
      <c r="C19" s="1293">
        <v>1701</v>
      </c>
      <c r="D19" s="1096">
        <v>1544</v>
      </c>
      <c r="E19" s="1294">
        <f>+'1.mell._Össz_Mérleg2019'!C19</f>
        <v>3090</v>
      </c>
      <c r="F19" s="143"/>
      <c r="G19" s="143"/>
    </row>
    <row r="20" spans="1:7">
      <c r="A20" s="1126" t="s">
        <v>83</v>
      </c>
      <c r="B20" s="1127" t="s">
        <v>98</v>
      </c>
      <c r="C20" s="1293"/>
      <c r="D20" s="1096"/>
      <c r="E20" s="1294">
        <f>+'1.mell._Össz_Mérleg2019'!C20</f>
        <v>0</v>
      </c>
      <c r="F20" s="143"/>
      <c r="G20" s="143"/>
    </row>
    <row r="21" spans="1:7">
      <c r="A21" s="1126" t="s">
        <v>84</v>
      </c>
      <c r="B21" s="1127" t="s">
        <v>99</v>
      </c>
      <c r="C21" s="1293"/>
      <c r="D21" s="1096"/>
      <c r="E21" s="1294">
        <f>+'1.mell._Össz_Mérleg2019'!C21</f>
        <v>0</v>
      </c>
      <c r="F21" s="143"/>
      <c r="G21" s="143"/>
    </row>
    <row r="22" spans="1:7">
      <c r="A22" s="1126" t="s">
        <v>85</v>
      </c>
      <c r="B22" s="1127" t="s">
        <v>100</v>
      </c>
      <c r="C22" s="1293"/>
      <c r="D22" s="1096"/>
      <c r="E22" s="1294">
        <f>+'1.mell._Össz_Mérleg2019'!C22</f>
        <v>0</v>
      </c>
      <c r="F22" s="143"/>
      <c r="G22" s="143"/>
    </row>
    <row r="23" spans="1:7">
      <c r="A23" s="1128" t="s">
        <v>86</v>
      </c>
      <c r="B23" s="1129" t="s">
        <v>101</v>
      </c>
      <c r="C23" s="1273">
        <v>454031</v>
      </c>
      <c r="D23" s="1099">
        <v>800991</v>
      </c>
      <c r="E23" s="1295">
        <f>+'1.mell._Össz_Mérleg2019'!C23</f>
        <v>70880</v>
      </c>
      <c r="F23" s="143"/>
      <c r="G23" s="143"/>
    </row>
    <row r="24" spans="1:7" s="140" customFormat="1" ht="12.75" thickBot="1">
      <c r="A24" s="1130" t="s">
        <v>332</v>
      </c>
      <c r="B24" s="1131" t="s">
        <v>333</v>
      </c>
      <c r="C24" s="1272">
        <v>162546</v>
      </c>
      <c r="D24" s="1135"/>
      <c r="E24" s="1296">
        <f>+'1.mell._Össz_Mérleg2019'!C24</f>
        <v>0</v>
      </c>
      <c r="F24" s="143"/>
      <c r="G24" s="143"/>
    </row>
    <row r="25" spans="1:7" s="143" customFormat="1" ht="12.75" customHeight="1" thickBot="1">
      <c r="A25" s="1113" t="s">
        <v>6</v>
      </c>
      <c r="B25" s="1121" t="s">
        <v>787</v>
      </c>
      <c r="C25" s="1285">
        <f>+C26+C27+C28+C29+C30+C31</f>
        <v>313142</v>
      </c>
      <c r="D25" s="1286">
        <f>+D26+D27+D28+D29+D30+D31</f>
        <v>356022</v>
      </c>
      <c r="E25" s="1297">
        <f>+E26+E27+E28+E29+E30+E31</f>
        <v>384050</v>
      </c>
    </row>
    <row r="26" spans="1:7" ht="12.75" customHeight="1">
      <c r="A26" s="1122" t="s">
        <v>58</v>
      </c>
      <c r="B26" s="135" t="s">
        <v>102</v>
      </c>
      <c r="C26" s="1298">
        <v>66</v>
      </c>
      <c r="D26" s="1159">
        <v>62</v>
      </c>
      <c r="E26" s="1299">
        <f>+'1.mell._Össz_Mérleg2019'!C26</f>
        <v>60</v>
      </c>
      <c r="F26" s="143"/>
      <c r="G26" s="143"/>
    </row>
    <row r="27" spans="1:7" ht="12.75" customHeight="1">
      <c r="A27" s="1126" t="s">
        <v>59</v>
      </c>
      <c r="B27" s="1127" t="s">
        <v>103</v>
      </c>
      <c r="C27" s="1293"/>
      <c r="D27" s="1096"/>
      <c r="E27" s="1294">
        <f>+'1.mell._Össz_Mérleg2019'!C27</f>
        <v>0</v>
      </c>
      <c r="F27" s="143"/>
      <c r="G27" s="143"/>
    </row>
    <row r="28" spans="1:7" ht="12.75" customHeight="1">
      <c r="A28" s="1126" t="s">
        <v>60</v>
      </c>
      <c r="B28" s="1127" t="s">
        <v>104</v>
      </c>
      <c r="C28" s="1293"/>
      <c r="D28" s="1096"/>
      <c r="E28" s="1294">
        <f>+'1.mell._Össz_Mérleg2019'!C28</f>
        <v>0</v>
      </c>
      <c r="F28" s="143"/>
      <c r="G28" s="143"/>
    </row>
    <row r="29" spans="1:7" ht="12.75" customHeight="1">
      <c r="A29" s="1126" t="s">
        <v>180</v>
      </c>
      <c r="B29" s="1127" t="s">
        <v>105</v>
      </c>
      <c r="C29" s="1293">
        <v>62211</v>
      </c>
      <c r="D29" s="1096">
        <v>60576</v>
      </c>
      <c r="E29" s="1294">
        <f>+'1.mell._Össz_Mérleg2019'!C29</f>
        <v>62000</v>
      </c>
      <c r="F29" s="143"/>
      <c r="G29" s="143"/>
    </row>
    <row r="30" spans="1:7" ht="12.75" customHeight="1">
      <c r="A30" s="1128" t="s">
        <v>181</v>
      </c>
      <c r="B30" s="1129" t="s">
        <v>106</v>
      </c>
      <c r="C30" s="1293">
        <v>239839</v>
      </c>
      <c r="D30" s="1096">
        <v>289384</v>
      </c>
      <c r="E30" s="1294">
        <f>+'1.mell._Össz_Mérleg2019'!C30</f>
        <v>307720</v>
      </c>
      <c r="F30" s="143"/>
      <c r="G30" s="143"/>
    </row>
    <row r="31" spans="1:7" ht="12.75" customHeight="1" thickBot="1">
      <c r="A31" s="1128" t="s">
        <v>786</v>
      </c>
      <c r="B31" s="1129" t="s">
        <v>788</v>
      </c>
      <c r="C31" s="1273">
        <v>11026</v>
      </c>
      <c r="D31" s="1099">
        <v>6000</v>
      </c>
      <c r="E31" s="1295">
        <f>+'1.mell._Össz_Mérleg2019'!C31</f>
        <v>14270</v>
      </c>
      <c r="F31" s="143"/>
      <c r="G31" s="143"/>
    </row>
    <row r="32" spans="1:7" s="143" customFormat="1" ht="12.75" customHeight="1" thickBot="1">
      <c r="A32" s="1113" t="s">
        <v>3</v>
      </c>
      <c r="B32" s="1121" t="s">
        <v>981</v>
      </c>
      <c r="C32" s="1288">
        <f>+C33+C34+C35+C36+C37+C38+C39+C40+C41+C42+C43</f>
        <v>147411</v>
      </c>
      <c r="D32" s="133">
        <f>+D33+D34+D35+D36+D37+D38+D39+D40+D41+D42+D43</f>
        <v>124453</v>
      </c>
      <c r="E32" s="1289">
        <f>+E33+E34+E35+E36+E37+E38+E39+E40+E41+E42+E43</f>
        <v>132543</v>
      </c>
    </row>
    <row r="33" spans="1:7" ht="12.75" customHeight="1">
      <c r="A33" s="1122" t="s">
        <v>61</v>
      </c>
      <c r="B33" s="135" t="s">
        <v>107</v>
      </c>
      <c r="C33" s="1290">
        <v>10051</v>
      </c>
      <c r="D33" s="139">
        <v>8714</v>
      </c>
      <c r="E33" s="1291">
        <f>+'1.mell._Össz_Mérleg2019'!C33</f>
        <v>0</v>
      </c>
      <c r="F33" s="785"/>
      <c r="G33" s="143"/>
    </row>
    <row r="34" spans="1:7" ht="12.75" customHeight="1">
      <c r="A34" s="1126" t="s">
        <v>62</v>
      </c>
      <c r="B34" s="1127" t="s">
        <v>108</v>
      </c>
      <c r="C34" s="1293">
        <v>37812</v>
      </c>
      <c r="D34" s="1096">
        <v>54288</v>
      </c>
      <c r="E34" s="1294">
        <f>+'1.mell._Össz_Mérleg2019'!C34</f>
        <v>57881</v>
      </c>
      <c r="G34" s="143"/>
    </row>
    <row r="35" spans="1:7" ht="12.75" customHeight="1">
      <c r="A35" s="1126" t="s">
        <v>63</v>
      </c>
      <c r="B35" s="1127" t="s">
        <v>109</v>
      </c>
      <c r="C35" s="1293">
        <v>23744</v>
      </c>
      <c r="D35" s="1096">
        <v>16417</v>
      </c>
      <c r="E35" s="1294">
        <f>+'1.mell._Össz_Mérleg2019'!C35</f>
        <v>8830</v>
      </c>
      <c r="G35" s="143"/>
    </row>
    <row r="36" spans="1:7" ht="12.75" customHeight="1">
      <c r="A36" s="1126" t="s">
        <v>64</v>
      </c>
      <c r="B36" s="1127" t="s">
        <v>110</v>
      </c>
      <c r="C36" s="1293">
        <v>9315</v>
      </c>
      <c r="D36" s="1096">
        <v>236</v>
      </c>
      <c r="E36" s="1294">
        <f>+'1.mell._Össz_Mérleg2019'!C36</f>
        <v>236</v>
      </c>
      <c r="G36" s="143"/>
    </row>
    <row r="37" spans="1:7" ht="12.75" customHeight="1">
      <c r="A37" s="1126" t="s">
        <v>65</v>
      </c>
      <c r="B37" s="1127" t="s">
        <v>111</v>
      </c>
      <c r="C37" s="1293">
        <v>9094</v>
      </c>
      <c r="D37" s="1096">
        <v>8464</v>
      </c>
      <c r="E37" s="1294">
        <f>+'1.mell._Össz_Mérleg2019'!C37</f>
        <v>8734</v>
      </c>
      <c r="G37" s="143"/>
    </row>
    <row r="38" spans="1:7" ht="12.75" customHeight="1">
      <c r="A38" s="1126" t="s">
        <v>222</v>
      </c>
      <c r="B38" s="1127" t="s">
        <v>112</v>
      </c>
      <c r="C38" s="1293">
        <v>21658</v>
      </c>
      <c r="D38" s="1096">
        <v>21996</v>
      </c>
      <c r="E38" s="1294">
        <f>+'1.mell._Össz_Mérleg2019'!C38</f>
        <v>20016</v>
      </c>
      <c r="G38" s="143"/>
    </row>
    <row r="39" spans="1:7" ht="12.75" customHeight="1">
      <c r="A39" s="1126" t="s">
        <v>223</v>
      </c>
      <c r="B39" s="1127" t="s">
        <v>113</v>
      </c>
      <c r="C39" s="1293">
        <v>10264</v>
      </c>
      <c r="D39" s="1096">
        <v>6293</v>
      </c>
      <c r="E39" s="1294">
        <f>+'1.mell._Össz_Mérleg2019'!C39</f>
        <v>17899</v>
      </c>
      <c r="G39" s="143"/>
    </row>
    <row r="40" spans="1:7" ht="12.75" customHeight="1">
      <c r="A40" s="1126" t="s">
        <v>224</v>
      </c>
      <c r="B40" s="1127" t="s">
        <v>991</v>
      </c>
      <c r="C40" s="1293">
        <v>11</v>
      </c>
      <c r="D40" s="1096">
        <v>1</v>
      </c>
      <c r="E40" s="1294">
        <f>+'1.mell._Össz_Mérleg2019'!C40</f>
        <v>0</v>
      </c>
      <c r="G40" s="143"/>
    </row>
    <row r="41" spans="1:7" ht="12.75" customHeight="1">
      <c r="A41" s="1126" t="s">
        <v>225</v>
      </c>
      <c r="B41" s="1127" t="s">
        <v>114</v>
      </c>
      <c r="C41" s="1293">
        <v>17087</v>
      </c>
      <c r="D41" s="1096">
        <v>3880</v>
      </c>
      <c r="E41" s="1294">
        <f>+'1.mell._Össz_Mérleg2019'!C41</f>
        <v>0</v>
      </c>
      <c r="G41" s="143"/>
    </row>
    <row r="42" spans="1:7" ht="12.75" customHeight="1">
      <c r="A42" s="1128" t="s">
        <v>226</v>
      </c>
      <c r="B42" s="1129" t="s">
        <v>908</v>
      </c>
      <c r="C42" s="1293">
        <v>229</v>
      </c>
      <c r="D42" s="1096">
        <v>786</v>
      </c>
      <c r="E42" s="1294">
        <f>+'1.mell._Össz_Mérleg2019'!C42</f>
        <v>0</v>
      </c>
      <c r="G42" s="143"/>
    </row>
    <row r="43" spans="1:7" ht="12.75" customHeight="1" thickBot="1">
      <c r="A43" s="1128" t="s">
        <v>907</v>
      </c>
      <c r="B43" s="1129" t="s">
        <v>909</v>
      </c>
      <c r="C43" s="1273">
        <v>8146</v>
      </c>
      <c r="D43" s="1099">
        <v>3378</v>
      </c>
      <c r="E43" s="1295">
        <f>+'1.mell._Össz_Mérleg2019'!C43</f>
        <v>18947</v>
      </c>
      <c r="G43" s="143"/>
    </row>
    <row r="44" spans="1:7" s="143" customFormat="1" ht="12.75" thickBot="1">
      <c r="A44" s="1113" t="s">
        <v>16</v>
      </c>
      <c r="B44" s="1121" t="s">
        <v>982</v>
      </c>
      <c r="C44" s="1288">
        <f>+C45+C46+C47+C48+C49</f>
        <v>14619</v>
      </c>
      <c r="D44" s="133">
        <f>+D45+D46+D47+D48+D49</f>
        <v>3493</v>
      </c>
      <c r="E44" s="1289">
        <f>+E45+E46+E47+E48+E49</f>
        <v>5800</v>
      </c>
    </row>
    <row r="45" spans="1:7" ht="12.75" customHeight="1">
      <c r="A45" s="1122" t="s">
        <v>227</v>
      </c>
      <c r="B45" s="135" t="s">
        <v>115</v>
      </c>
      <c r="C45" s="1290"/>
      <c r="D45" s="139"/>
      <c r="E45" s="1291">
        <f>+'1.mell._Össz_Mérleg2019'!C45</f>
        <v>0</v>
      </c>
      <c r="G45" s="143"/>
    </row>
    <row r="46" spans="1:7" ht="12.75" customHeight="1">
      <c r="A46" s="1122" t="s">
        <v>228</v>
      </c>
      <c r="B46" s="135" t="s">
        <v>910</v>
      </c>
      <c r="C46" s="1290"/>
      <c r="D46" s="139"/>
      <c r="E46" s="1291">
        <f>+'1.mell._Össz_Mérleg2019'!C46</f>
        <v>0</v>
      </c>
      <c r="G46" s="143"/>
    </row>
    <row r="47" spans="1:7" ht="12.75" customHeight="1">
      <c r="A47" s="1122" t="s">
        <v>229</v>
      </c>
      <c r="B47" s="135" t="s">
        <v>911</v>
      </c>
      <c r="C47" s="1290"/>
      <c r="D47" s="139"/>
      <c r="E47" s="1291">
        <f>+'1.mell._Össz_Mérleg2019'!C47</f>
        <v>0</v>
      </c>
      <c r="G47" s="143"/>
    </row>
    <row r="48" spans="1:7" ht="12.75" customHeight="1">
      <c r="A48" s="1126" t="s">
        <v>257</v>
      </c>
      <c r="B48" s="1127" t="s">
        <v>912</v>
      </c>
      <c r="C48" s="1293">
        <v>13769</v>
      </c>
      <c r="D48" s="1096">
        <v>3280</v>
      </c>
      <c r="E48" s="1294">
        <f>+'1.mell._Össz_Mérleg2019'!C48</f>
        <v>4000</v>
      </c>
      <c r="G48" s="143"/>
    </row>
    <row r="49" spans="1:7" ht="12.75" customHeight="1" thickBot="1">
      <c r="A49" s="1128" t="s">
        <v>258</v>
      </c>
      <c r="B49" s="1129" t="s">
        <v>913</v>
      </c>
      <c r="C49" s="1273">
        <v>850</v>
      </c>
      <c r="D49" s="1099">
        <v>213</v>
      </c>
      <c r="E49" s="1295">
        <f>+'1.mell._Össz_Mérleg2019'!C49</f>
        <v>1800</v>
      </c>
      <c r="G49" s="143"/>
    </row>
    <row r="50" spans="1:7" s="143" customFormat="1" ht="12.75" thickBot="1">
      <c r="A50" s="1113" t="s">
        <v>15</v>
      </c>
      <c r="B50" s="1136" t="s">
        <v>300</v>
      </c>
      <c r="C50" s="1288">
        <f>+C51+C58+C64</f>
        <v>1897360</v>
      </c>
      <c r="D50" s="133">
        <f>+D51+D58+D64</f>
        <v>1341037</v>
      </c>
      <c r="E50" s="1289">
        <f>+E51+E58+E64</f>
        <v>389249</v>
      </c>
    </row>
    <row r="51" spans="1:7" s="143" customFormat="1" ht="12.75" customHeight="1" thickBot="1">
      <c r="A51" s="1113" t="s">
        <v>14</v>
      </c>
      <c r="B51" s="1121" t="s">
        <v>301</v>
      </c>
      <c r="C51" s="1288">
        <f>+C52+C53+C54+C55+C56</f>
        <v>1766086</v>
      </c>
      <c r="D51" s="133">
        <f>+D52+D53+D54+D55+D56</f>
        <v>1331164</v>
      </c>
      <c r="E51" s="1289">
        <f>+E52+E53+E54+E55+E56</f>
        <v>377399</v>
      </c>
    </row>
    <row r="52" spans="1:7">
      <c r="A52" s="1122" t="s">
        <v>185</v>
      </c>
      <c r="B52" s="135" t="s">
        <v>116</v>
      </c>
      <c r="C52" s="1290">
        <v>3322</v>
      </c>
      <c r="D52" s="139">
        <v>22708</v>
      </c>
      <c r="E52" s="1291">
        <f>+'1.mell._Össz_Mérleg2019'!C52</f>
        <v>0</v>
      </c>
      <c r="G52" s="143"/>
    </row>
    <row r="53" spans="1:7">
      <c r="A53" s="1126" t="s">
        <v>186</v>
      </c>
      <c r="B53" s="1127" t="s">
        <v>117</v>
      </c>
      <c r="C53" s="1293"/>
      <c r="D53" s="1096"/>
      <c r="E53" s="1294">
        <f>+'1.mell._Össz_Mérleg2019'!C53</f>
        <v>0</v>
      </c>
      <c r="G53" s="143"/>
    </row>
    <row r="54" spans="1:7">
      <c r="A54" s="1126" t="s">
        <v>187</v>
      </c>
      <c r="B54" s="1127" t="s">
        <v>118</v>
      </c>
      <c r="C54" s="1293"/>
      <c r="D54" s="1096"/>
      <c r="E54" s="1294">
        <f>+'1.mell._Össz_Mérleg2019'!C54</f>
        <v>0</v>
      </c>
      <c r="G54" s="143"/>
    </row>
    <row r="55" spans="1:7">
      <c r="A55" s="1126" t="s">
        <v>188</v>
      </c>
      <c r="B55" s="1127" t="s">
        <v>119</v>
      </c>
      <c r="C55" s="1293"/>
      <c r="D55" s="1096"/>
      <c r="E55" s="1294">
        <f>+'1.mell._Össz_Mérleg2019'!C55</f>
        <v>0</v>
      </c>
      <c r="G55" s="143"/>
    </row>
    <row r="56" spans="1:7">
      <c r="A56" s="1128" t="s">
        <v>189</v>
      </c>
      <c r="B56" s="1129" t="s">
        <v>120</v>
      </c>
      <c r="C56" s="1273">
        <v>1762764</v>
      </c>
      <c r="D56" s="1099">
        <v>1308456</v>
      </c>
      <c r="E56" s="1295">
        <f>+'1.mell._Össz_Mérleg2019'!C56</f>
        <v>377399</v>
      </c>
      <c r="G56" s="143"/>
    </row>
    <row r="57" spans="1:7" s="140" customFormat="1" ht="12.75" thickBot="1">
      <c r="A57" s="1130" t="s">
        <v>334</v>
      </c>
      <c r="B57" s="1131" t="s">
        <v>338</v>
      </c>
      <c r="C57" s="1272">
        <v>1757796</v>
      </c>
      <c r="D57" s="1135"/>
      <c r="E57" s="1296">
        <f>+'1.mell._Össz_Mérleg2019'!C57</f>
        <v>0</v>
      </c>
      <c r="G57" s="143"/>
    </row>
    <row r="58" spans="1:7" s="143" customFormat="1" ht="12.75" customHeight="1" thickBot="1">
      <c r="A58" s="1113" t="s">
        <v>13</v>
      </c>
      <c r="B58" s="1121" t="s">
        <v>302</v>
      </c>
      <c r="C58" s="1288">
        <f>+C59+C60+C61+C62+C63</f>
        <v>125604</v>
      </c>
      <c r="D58" s="133">
        <f>+D59+D60+D61+D62+D63</f>
        <v>6864</v>
      </c>
      <c r="E58" s="1289">
        <f>+E59+E60+E61+E62+E63</f>
        <v>10350</v>
      </c>
    </row>
    <row r="59" spans="1:7" ht="12.75" customHeight="1">
      <c r="A59" s="1122" t="s">
        <v>66</v>
      </c>
      <c r="B59" s="135" t="s">
        <v>121</v>
      </c>
      <c r="C59" s="1290"/>
      <c r="D59" s="139"/>
      <c r="E59" s="1291">
        <f>+'1.mell._Össz_Mérleg2019'!C59</f>
        <v>0</v>
      </c>
      <c r="G59" s="143"/>
    </row>
    <row r="60" spans="1:7" ht="12.75" customHeight="1">
      <c r="A60" s="1126" t="s">
        <v>67</v>
      </c>
      <c r="B60" s="1127" t="s">
        <v>122</v>
      </c>
      <c r="C60" s="1293">
        <v>122879</v>
      </c>
      <c r="D60" s="1096">
        <v>5264</v>
      </c>
      <c r="E60" s="1294">
        <f>+'1.mell._Össz_Mérleg2019'!C60</f>
        <v>10350</v>
      </c>
      <c r="G60" s="143"/>
    </row>
    <row r="61" spans="1:7" ht="12.75" customHeight="1">
      <c r="A61" s="1126" t="s">
        <v>68</v>
      </c>
      <c r="B61" s="1127" t="s">
        <v>123</v>
      </c>
      <c r="C61" s="1293">
        <v>2725</v>
      </c>
      <c r="D61" s="1096">
        <v>1600</v>
      </c>
      <c r="E61" s="1294">
        <f>+'1.mell._Össz_Mérleg2019'!C61</f>
        <v>0</v>
      </c>
      <c r="G61" s="143"/>
    </row>
    <row r="62" spans="1:7" ht="12.75" customHeight="1">
      <c r="A62" s="1126" t="s">
        <v>230</v>
      </c>
      <c r="B62" s="1127" t="s">
        <v>124</v>
      </c>
      <c r="C62" s="1293"/>
      <c r="D62" s="1096"/>
      <c r="E62" s="1294">
        <f>+'1.mell._Össz_Mérleg2019'!C62</f>
        <v>0</v>
      </c>
      <c r="G62" s="143"/>
    </row>
    <row r="63" spans="1:7" ht="12.75" customHeight="1" thickBot="1">
      <c r="A63" s="1128" t="s">
        <v>231</v>
      </c>
      <c r="B63" s="1129" t="s">
        <v>125</v>
      </c>
      <c r="C63" s="1273"/>
      <c r="D63" s="1099"/>
      <c r="E63" s="1295">
        <f>+'1.mell._Össz_Mérleg2019'!C63</f>
        <v>0</v>
      </c>
      <c r="G63" s="143"/>
    </row>
    <row r="64" spans="1:7" s="143" customFormat="1" ht="12.75" thickBot="1">
      <c r="A64" s="1113" t="s">
        <v>12</v>
      </c>
      <c r="B64" s="1121" t="s">
        <v>917</v>
      </c>
      <c r="C64" s="1288">
        <f>+C65+C66+C67+C68+C69</f>
        <v>5670</v>
      </c>
      <c r="D64" s="133">
        <f>+D65+D66+D67+D68+D69</f>
        <v>3009</v>
      </c>
      <c r="E64" s="1289">
        <f>+E65+E66+E67+E68+E69</f>
        <v>1500</v>
      </c>
    </row>
    <row r="65" spans="1:7">
      <c r="A65" s="1122" t="s">
        <v>69</v>
      </c>
      <c r="B65" s="135" t="s">
        <v>126</v>
      </c>
      <c r="C65" s="1290"/>
      <c r="D65" s="139"/>
      <c r="E65" s="1291">
        <f>+'1.mell._Össz_Mérleg2019'!C65</f>
        <v>0</v>
      </c>
      <c r="G65" s="143"/>
    </row>
    <row r="66" spans="1:7">
      <c r="A66" s="1122" t="s">
        <v>70</v>
      </c>
      <c r="B66" s="135" t="s">
        <v>918</v>
      </c>
      <c r="C66" s="1290"/>
      <c r="D66" s="139"/>
      <c r="E66" s="1291">
        <f>+'1.mell._Össz_Mérleg2019'!C66</f>
        <v>0</v>
      </c>
      <c r="G66" s="143"/>
    </row>
    <row r="67" spans="1:7">
      <c r="A67" s="1122" t="s">
        <v>71</v>
      </c>
      <c r="B67" s="135" t="s">
        <v>919</v>
      </c>
      <c r="C67" s="1290"/>
      <c r="D67" s="139"/>
      <c r="E67" s="1291">
        <f>+'1.mell._Össz_Mérleg2019'!C67</f>
        <v>0</v>
      </c>
      <c r="G67" s="143"/>
    </row>
    <row r="68" spans="1:7">
      <c r="A68" s="1126" t="s">
        <v>72</v>
      </c>
      <c r="B68" s="1127" t="s">
        <v>915</v>
      </c>
      <c r="C68" s="1293">
        <v>5670</v>
      </c>
      <c r="D68" s="1096">
        <v>1009</v>
      </c>
      <c r="E68" s="1294">
        <f>+'1.mell._Össz_Mérleg2019'!C68</f>
        <v>0</v>
      </c>
      <c r="G68" s="143"/>
    </row>
    <row r="69" spans="1:7" ht="12.75" thickBot="1">
      <c r="A69" s="1128" t="s">
        <v>914</v>
      </c>
      <c r="B69" s="1129" t="s">
        <v>916</v>
      </c>
      <c r="C69" s="1273"/>
      <c r="D69" s="1099">
        <v>2000</v>
      </c>
      <c r="E69" s="1295">
        <f>+'1.mell._Össz_Mérleg2019'!C69</f>
        <v>1500</v>
      </c>
      <c r="G69" s="143"/>
    </row>
    <row r="70" spans="1:7" s="143" customFormat="1" ht="12.75" thickBot="1">
      <c r="A70" s="1113" t="s">
        <v>11</v>
      </c>
      <c r="B70" s="1136" t="s">
        <v>303</v>
      </c>
      <c r="C70" s="1288">
        <f>+C10+C50</f>
        <v>3620504</v>
      </c>
      <c r="D70" s="133">
        <f>+D10+D50</f>
        <v>3417235</v>
      </c>
      <c r="E70" s="1289">
        <f>+E10+E50</f>
        <v>1874448</v>
      </c>
    </row>
    <row r="71" spans="1:7" s="143" customFormat="1" ht="12.75" thickBot="1">
      <c r="A71" s="1113" t="s">
        <v>10</v>
      </c>
      <c r="B71" s="1137" t="s">
        <v>304</v>
      </c>
      <c r="C71" s="1288">
        <f>+C72</f>
        <v>760963</v>
      </c>
      <c r="D71" s="133">
        <f>+D72</f>
        <v>2307348</v>
      </c>
      <c r="E71" s="1289">
        <f>+E72</f>
        <v>2738772</v>
      </c>
    </row>
    <row r="72" spans="1:7" s="143" customFormat="1" ht="12.75" thickBot="1">
      <c r="A72" s="1113" t="s">
        <v>9</v>
      </c>
      <c r="B72" s="1121" t="s">
        <v>926</v>
      </c>
      <c r="C72" s="1288">
        <f>+C73+C83+C84+C85</f>
        <v>760963</v>
      </c>
      <c r="D72" s="133">
        <f>+D73+D83+D84+D85</f>
        <v>2307348</v>
      </c>
      <c r="E72" s="1289">
        <f>+E73+E83+E84+E85</f>
        <v>2738772</v>
      </c>
    </row>
    <row r="73" spans="1:7">
      <c r="A73" s="1122" t="s">
        <v>73</v>
      </c>
      <c r="B73" s="135" t="s">
        <v>921</v>
      </c>
      <c r="C73" s="1290">
        <f>+C74+C75+C76+C77+C78+C79+C80+C81+C82</f>
        <v>760963</v>
      </c>
      <c r="D73" s="139">
        <f>+D74+D75+D76+D77+D78+D79+D80+D81+D82</f>
        <v>2307348</v>
      </c>
      <c r="E73" s="1291">
        <f>+E74+E75+E76+E77+E78+E79+E80+E81+E82</f>
        <v>2738772</v>
      </c>
      <c r="G73" s="143"/>
    </row>
    <row r="74" spans="1:7" s="140" customFormat="1">
      <c r="A74" s="127" t="s">
        <v>196</v>
      </c>
      <c r="B74" s="128" t="s">
        <v>920</v>
      </c>
      <c r="C74" s="1292">
        <v>613394</v>
      </c>
      <c r="D74" s="771">
        <v>85565</v>
      </c>
      <c r="E74" s="909">
        <f>+'1.mell._Össz_Mérleg2019'!C74</f>
        <v>0</v>
      </c>
      <c r="G74" s="143"/>
    </row>
    <row r="75" spans="1:7" s="140" customFormat="1">
      <c r="A75" s="127" t="s">
        <v>197</v>
      </c>
      <c r="B75" s="128" t="s">
        <v>247</v>
      </c>
      <c r="C75" s="1292"/>
      <c r="D75" s="771"/>
      <c r="E75" s="909">
        <f>+'1.mell._Össz_Mérleg2019'!C75</f>
        <v>0</v>
      </c>
      <c r="G75" s="143"/>
    </row>
    <row r="76" spans="1:7" s="140" customFormat="1">
      <c r="A76" s="127" t="s">
        <v>198</v>
      </c>
      <c r="B76" s="128" t="s">
        <v>248</v>
      </c>
      <c r="C76" s="1292">
        <v>122223</v>
      </c>
      <c r="D76" s="771">
        <v>2195112</v>
      </c>
      <c r="E76" s="909">
        <f>+'1.mell._Össz_Mérleg2019'!C76</f>
        <v>2738772</v>
      </c>
      <c r="G76" s="143"/>
    </row>
    <row r="77" spans="1:7" s="140" customFormat="1">
      <c r="A77" s="127" t="s">
        <v>199</v>
      </c>
      <c r="B77" s="128" t="s">
        <v>249</v>
      </c>
      <c r="C77" s="1292">
        <v>25346</v>
      </c>
      <c r="D77" s="771">
        <v>26671</v>
      </c>
      <c r="E77" s="909">
        <f>+'1.mell._Össz_Mérleg2019'!C77</f>
        <v>0</v>
      </c>
      <c r="G77" s="143"/>
    </row>
    <row r="78" spans="1:7" s="140" customFormat="1">
      <c r="A78" s="127" t="s">
        <v>200</v>
      </c>
      <c r="B78" s="128" t="s">
        <v>250</v>
      </c>
      <c r="C78" s="1292"/>
      <c r="D78" s="771"/>
      <c r="E78" s="909">
        <f>+'1.mell._Össz_Mérleg2019'!C78</f>
        <v>0</v>
      </c>
      <c r="G78" s="143"/>
    </row>
    <row r="79" spans="1:7" s="140" customFormat="1">
      <c r="A79" s="127" t="s">
        <v>201</v>
      </c>
      <c r="B79" s="128" t="s">
        <v>251</v>
      </c>
      <c r="C79" s="1292"/>
      <c r="D79" s="771"/>
      <c r="E79" s="909">
        <f>+'1.mell._Össz_Mérleg2019'!C79</f>
        <v>0</v>
      </c>
      <c r="G79" s="143"/>
    </row>
    <row r="80" spans="1:7" s="140" customFormat="1">
      <c r="A80" s="127" t="s">
        <v>204</v>
      </c>
      <c r="B80" s="128" t="s">
        <v>252</v>
      </c>
      <c r="C80" s="1292"/>
      <c r="D80" s="771"/>
      <c r="E80" s="909">
        <f>+'1.mell._Össz_Mérleg2019'!C80</f>
        <v>0</v>
      </c>
      <c r="G80" s="143"/>
    </row>
    <row r="81" spans="1:7" s="140" customFormat="1">
      <c r="A81" s="127" t="s">
        <v>202</v>
      </c>
      <c r="B81" s="128" t="s">
        <v>245</v>
      </c>
      <c r="C81" s="1292"/>
      <c r="D81" s="771"/>
      <c r="E81" s="909">
        <f>+'1.mell._Össz_Mérleg2019'!C81</f>
        <v>0</v>
      </c>
      <c r="G81" s="143"/>
    </row>
    <row r="82" spans="1:7" s="140" customFormat="1">
      <c r="A82" s="127" t="s">
        <v>922</v>
      </c>
      <c r="B82" s="128" t="s">
        <v>923</v>
      </c>
      <c r="C82" s="1292"/>
      <c r="D82" s="771"/>
      <c r="E82" s="909">
        <f>+'1.mell._Össz_Mérleg2019'!C82</f>
        <v>0</v>
      </c>
      <c r="G82" s="143"/>
    </row>
    <row r="83" spans="1:7">
      <c r="A83" s="1126" t="s">
        <v>74</v>
      </c>
      <c r="B83" s="1127" t="s">
        <v>243</v>
      </c>
      <c r="C83" s="1293"/>
      <c r="D83" s="1096"/>
      <c r="E83" s="1294">
        <f>+'1.mell._Össz_Mérleg2019'!C83</f>
        <v>0</v>
      </c>
      <c r="G83" s="143"/>
    </row>
    <row r="84" spans="1:7">
      <c r="A84" s="1128" t="s">
        <v>203</v>
      </c>
      <c r="B84" s="1129" t="s">
        <v>244</v>
      </c>
      <c r="C84" s="1273"/>
      <c r="D84" s="1099"/>
      <c r="E84" s="1295">
        <f>+'1.mell._Össz_Mérleg2019'!C84</f>
        <v>0</v>
      </c>
      <c r="G84" s="143"/>
    </row>
    <row r="85" spans="1:7" ht="12.75" thickBot="1">
      <c r="A85" s="1128" t="s">
        <v>924</v>
      </c>
      <c r="B85" s="1129" t="s">
        <v>925</v>
      </c>
      <c r="C85" s="1273"/>
      <c r="D85" s="1099"/>
      <c r="E85" s="1295">
        <f>+'1.mell._Össz_Mérleg2019'!C85</f>
        <v>0</v>
      </c>
      <c r="G85" s="143"/>
    </row>
    <row r="86" spans="1:7" s="143" customFormat="1" ht="12.75" thickBot="1">
      <c r="A86" s="1113" t="s">
        <v>45</v>
      </c>
      <c r="B86" s="1137" t="s">
        <v>305</v>
      </c>
      <c r="C86" s="1288">
        <f>+C87</f>
        <v>241350</v>
      </c>
      <c r="D86" s="133">
        <f>+D87</f>
        <v>0</v>
      </c>
      <c r="E86" s="1289">
        <f>+E87</f>
        <v>9999</v>
      </c>
    </row>
    <row r="87" spans="1:7" s="143" customFormat="1" ht="12.75" thickBot="1">
      <c r="A87" s="1113" t="s">
        <v>44</v>
      </c>
      <c r="B87" s="1121" t="s">
        <v>928</v>
      </c>
      <c r="C87" s="1288">
        <f>+C88+C98+C99+C100</f>
        <v>241350</v>
      </c>
      <c r="D87" s="133">
        <f>+D88+D98+D99+D100</f>
        <v>0</v>
      </c>
      <c r="E87" s="1289">
        <f>+E88+E98+E99+E100</f>
        <v>9999</v>
      </c>
    </row>
    <row r="88" spans="1:7">
      <c r="A88" s="1122" t="s">
        <v>232</v>
      </c>
      <c r="B88" s="135" t="s">
        <v>983</v>
      </c>
      <c r="C88" s="1290">
        <f>+C89+C90+C91+C92+C93+C94+C95+C96+C97</f>
        <v>241350</v>
      </c>
      <c r="D88" s="139">
        <f>+D89+D90+D91+D92+D93+D94+D95+D96+D97</f>
        <v>0</v>
      </c>
      <c r="E88" s="1291">
        <f>+E89+E90+E91+E92+E93+E94+E95+E96+E97</f>
        <v>9999</v>
      </c>
      <c r="G88" s="143"/>
    </row>
    <row r="89" spans="1:7" s="140" customFormat="1">
      <c r="A89" s="127" t="s">
        <v>233</v>
      </c>
      <c r="B89" s="128" t="s">
        <v>920</v>
      </c>
      <c r="C89" s="1292"/>
      <c r="D89" s="771"/>
      <c r="E89" s="909">
        <f>+'1.mell._Össz_Mérleg2019'!C89</f>
        <v>9999</v>
      </c>
      <c r="G89" s="143"/>
    </row>
    <row r="90" spans="1:7" s="140" customFormat="1">
      <c r="A90" s="127" t="s">
        <v>234</v>
      </c>
      <c r="B90" s="128" t="s">
        <v>247</v>
      </c>
      <c r="C90" s="1292"/>
      <c r="D90" s="771"/>
      <c r="E90" s="909">
        <f>+'1.mell._Össz_Mérleg2019'!C90</f>
        <v>0</v>
      </c>
      <c r="G90" s="143"/>
    </row>
    <row r="91" spans="1:7" s="140" customFormat="1">
      <c r="A91" s="127" t="s">
        <v>235</v>
      </c>
      <c r="B91" s="128" t="s">
        <v>248</v>
      </c>
      <c r="C91" s="1292">
        <v>241350</v>
      </c>
      <c r="D91" s="771"/>
      <c r="E91" s="909">
        <f>+'1.mell._Össz_Mérleg2019'!C91</f>
        <v>0</v>
      </c>
      <c r="G91" s="143"/>
    </row>
    <row r="92" spans="1:7" s="140" customFormat="1">
      <c r="A92" s="127" t="s">
        <v>236</v>
      </c>
      <c r="B92" s="128" t="s">
        <v>249</v>
      </c>
      <c r="C92" s="1292"/>
      <c r="D92" s="771"/>
      <c r="E92" s="909">
        <f>+'1.mell._Össz_Mérleg2019'!C92</f>
        <v>0</v>
      </c>
      <c r="G92" s="143"/>
    </row>
    <row r="93" spans="1:7" s="140" customFormat="1">
      <c r="A93" s="127" t="s">
        <v>237</v>
      </c>
      <c r="B93" s="128" t="s">
        <v>250</v>
      </c>
      <c r="C93" s="1292"/>
      <c r="D93" s="771"/>
      <c r="E93" s="909">
        <f>+'1.mell._Össz_Mérleg2019'!C93</f>
        <v>0</v>
      </c>
      <c r="G93" s="143"/>
    </row>
    <row r="94" spans="1:7" s="140" customFormat="1">
      <c r="A94" s="127" t="s">
        <v>238</v>
      </c>
      <c r="B94" s="128" t="s">
        <v>251</v>
      </c>
      <c r="C94" s="1292"/>
      <c r="D94" s="771"/>
      <c r="E94" s="909">
        <f>+'1.mell._Össz_Mérleg2019'!C94</f>
        <v>0</v>
      </c>
      <c r="G94" s="143"/>
    </row>
    <row r="95" spans="1:7" s="140" customFormat="1">
      <c r="A95" s="127" t="s">
        <v>239</v>
      </c>
      <c r="B95" s="128" t="s">
        <v>252</v>
      </c>
      <c r="C95" s="1292"/>
      <c r="D95" s="771"/>
      <c r="E95" s="909">
        <f>+'1.mell._Össz_Mérleg2019'!C95</f>
        <v>0</v>
      </c>
      <c r="G95" s="143"/>
    </row>
    <row r="96" spans="1:7" s="140" customFormat="1">
      <c r="A96" s="127" t="s">
        <v>240</v>
      </c>
      <c r="B96" s="128" t="s">
        <v>245</v>
      </c>
      <c r="C96" s="1292"/>
      <c r="D96" s="771"/>
      <c r="E96" s="909">
        <f>+'1.mell._Össz_Mérleg2019'!C96</f>
        <v>0</v>
      </c>
      <c r="G96" s="143"/>
    </row>
    <row r="97" spans="1:9" s="140" customFormat="1">
      <c r="A97" s="127" t="s">
        <v>927</v>
      </c>
      <c r="B97" s="128" t="s">
        <v>923</v>
      </c>
      <c r="C97" s="1292"/>
      <c r="D97" s="771"/>
      <c r="E97" s="909">
        <f>+'1.mell._Össz_Mérleg2019'!C97</f>
        <v>0</v>
      </c>
      <c r="G97" s="143"/>
    </row>
    <row r="98" spans="1:9">
      <c r="A98" s="1126" t="s">
        <v>241</v>
      </c>
      <c r="B98" s="1127" t="s">
        <v>243</v>
      </c>
      <c r="C98" s="1293"/>
      <c r="D98" s="1096"/>
      <c r="E98" s="1294">
        <f>+'1.mell._Össz_Mérleg2019'!C98</f>
        <v>0</v>
      </c>
      <c r="G98" s="143"/>
    </row>
    <row r="99" spans="1:9">
      <c r="A99" s="1128" t="s">
        <v>242</v>
      </c>
      <c r="B99" s="1129" t="s">
        <v>244</v>
      </c>
      <c r="C99" s="1273"/>
      <c r="D99" s="1099"/>
      <c r="E99" s="1295">
        <f>+'1.mell._Össz_Mérleg2019'!C99</f>
        <v>0</v>
      </c>
      <c r="G99" s="143"/>
    </row>
    <row r="100" spans="1:9" ht="12.75" thickBot="1">
      <c r="A100" s="1128" t="s">
        <v>929</v>
      </c>
      <c r="B100" s="1129" t="s">
        <v>925</v>
      </c>
      <c r="C100" s="1273"/>
      <c r="D100" s="1099"/>
      <c r="E100" s="1295">
        <f>+'1.mell._Össz_Mérleg2019'!C100</f>
        <v>0</v>
      </c>
      <c r="G100" s="143"/>
    </row>
    <row r="101" spans="1:9" s="143" customFormat="1" ht="12.75" thickBot="1">
      <c r="A101" s="1113" t="s">
        <v>43</v>
      </c>
      <c r="B101" s="1136" t="s">
        <v>306</v>
      </c>
      <c r="C101" s="1288">
        <f>+C71+C86</f>
        <v>1002313</v>
      </c>
      <c r="D101" s="133">
        <f>+D71+D86</f>
        <v>2307348</v>
      </c>
      <c r="E101" s="1289">
        <f>+E71+E86</f>
        <v>2748771</v>
      </c>
    </row>
    <row r="102" spans="1:9" s="143" customFormat="1" ht="12.75" thickBot="1">
      <c r="A102" s="1138" t="s">
        <v>40</v>
      </c>
      <c r="B102" s="1139" t="s">
        <v>307</v>
      </c>
      <c r="C102" s="1300">
        <f>+C70+C101</f>
        <v>4622817</v>
      </c>
      <c r="D102" s="1143">
        <f>+D70+D101</f>
        <v>5724583</v>
      </c>
      <c r="E102" s="1301">
        <f>+E70+E101</f>
        <v>4623219</v>
      </c>
    </row>
    <row r="103" spans="1:9" s="140" customFormat="1">
      <c r="A103" s="1302"/>
      <c r="B103" s="1303"/>
      <c r="G103" s="1303">
        <f>+C102-C208</f>
        <v>2195112</v>
      </c>
      <c r="H103" s="1303">
        <f>+D102-D208</f>
        <v>3100558</v>
      </c>
      <c r="I103" s="1303">
        <f>+E102-E208</f>
        <v>0</v>
      </c>
    </row>
    <row r="104" spans="1:9" s="1104" customFormat="1">
      <c r="A104" s="1304"/>
      <c r="B104" s="1305"/>
      <c r="C104" s="1305"/>
      <c r="D104" s="1305"/>
      <c r="E104" s="1305"/>
      <c r="G104" s="143"/>
      <c r="H104" s="140">
        <f>+E76-H103</f>
        <v>-361786</v>
      </c>
    </row>
    <row r="105" spans="1:9" s="1102" customFormat="1" ht="15.75">
      <c r="A105" s="1441" t="s">
        <v>80</v>
      </c>
      <c r="B105" s="1441"/>
      <c r="C105" s="1441"/>
      <c r="D105" s="1441"/>
      <c r="E105" s="1441"/>
      <c r="G105" s="143"/>
    </row>
    <row r="106" spans="1:9" s="1104" customFormat="1" ht="12.75" thickBot="1">
      <c r="A106" s="1103" t="s">
        <v>279</v>
      </c>
      <c r="E106" s="1105" t="s">
        <v>281</v>
      </c>
      <c r="G106" s="143"/>
    </row>
    <row r="107" spans="1:9" s="143" customFormat="1" ht="36.75" thickBot="1">
      <c r="A107" s="1106" t="s">
        <v>17</v>
      </c>
      <c r="B107" s="1146" t="s">
        <v>329</v>
      </c>
      <c r="C107" s="1280" t="s">
        <v>1333</v>
      </c>
      <c r="D107" s="1111" t="s">
        <v>1332</v>
      </c>
      <c r="E107" s="1108" t="s">
        <v>1317</v>
      </c>
    </row>
    <row r="108" spans="1:9" s="143" customFormat="1" ht="12.75" thickBot="1">
      <c r="A108" s="1148" t="s">
        <v>253</v>
      </c>
      <c r="B108" s="1149" t="s">
        <v>254</v>
      </c>
      <c r="C108" s="1282" t="s">
        <v>255</v>
      </c>
      <c r="D108" s="1283" t="s">
        <v>361</v>
      </c>
      <c r="E108" s="1284" t="s">
        <v>362</v>
      </c>
    </row>
    <row r="109" spans="1:9" s="143" customFormat="1" ht="12.75" thickBot="1">
      <c r="A109" s="1113" t="s">
        <v>4</v>
      </c>
      <c r="B109" s="1136" t="s">
        <v>308</v>
      </c>
      <c r="C109" s="1288">
        <f>+C110+C114+C116+C123+C132</f>
        <v>1508277</v>
      </c>
      <c r="D109" s="133">
        <f>+D110+D114+D116+D123+D132</f>
        <v>1811563</v>
      </c>
      <c r="E109" s="1289">
        <f>+E110+E114+E116+E123+E132</f>
        <v>4110574</v>
      </c>
    </row>
    <row r="110" spans="1:9" s="143" customFormat="1" ht="12.75" thickBot="1">
      <c r="A110" s="1113" t="s">
        <v>5</v>
      </c>
      <c r="B110" s="1121" t="s">
        <v>309</v>
      </c>
      <c r="C110" s="1288">
        <f>+C112+C113</f>
        <v>756270</v>
      </c>
      <c r="D110" s="133">
        <f>+D112+D113</f>
        <v>838981</v>
      </c>
      <c r="E110" s="1289">
        <f>+E112+E113</f>
        <v>655870</v>
      </c>
    </row>
    <row r="111" spans="1:9" s="1104" customFormat="1">
      <c r="A111" s="1150" t="s">
        <v>349</v>
      </c>
      <c r="B111" s="1151" t="s">
        <v>350</v>
      </c>
      <c r="C111" s="1274"/>
      <c r="D111" s="1155"/>
      <c r="E111" s="1306">
        <f>+'1.mell._Össz_Mérleg2019'!C111</f>
        <v>0</v>
      </c>
      <c r="G111" s="143"/>
    </row>
    <row r="112" spans="1:9">
      <c r="A112" s="1122" t="s">
        <v>54</v>
      </c>
      <c r="B112" s="135" t="s">
        <v>127</v>
      </c>
      <c r="C112" s="1290">
        <v>716803</v>
      </c>
      <c r="D112" s="139">
        <v>746481</v>
      </c>
      <c r="E112" s="1291">
        <f>+'1.mell._Össz_Mérleg2019'!C112</f>
        <v>620464</v>
      </c>
      <c r="G112" s="143"/>
    </row>
    <row r="113" spans="1:7" ht="12.75" thickBot="1">
      <c r="A113" s="1128" t="s">
        <v>55</v>
      </c>
      <c r="B113" s="1129" t="s">
        <v>128</v>
      </c>
      <c r="C113" s="1273">
        <v>39467</v>
      </c>
      <c r="D113" s="1099">
        <v>92500</v>
      </c>
      <c r="E113" s="1295">
        <f>+'1.mell._Össz_Mérleg2019'!C113</f>
        <v>35406</v>
      </c>
      <c r="G113" s="143"/>
    </row>
    <row r="114" spans="1:7" s="143" customFormat="1" ht="12.75" thickBot="1">
      <c r="A114" s="1113" t="s">
        <v>6</v>
      </c>
      <c r="B114" s="1121" t="s">
        <v>256</v>
      </c>
      <c r="C114" s="1288">
        <v>157139</v>
      </c>
      <c r="D114" s="133">
        <v>153994</v>
      </c>
      <c r="E114" s="1289">
        <f>+'1.mell._Össz_Mérleg2019'!C114</f>
        <v>131505</v>
      </c>
    </row>
    <row r="115" spans="1:7" s="1104" customFormat="1" ht="12.75" thickBot="1">
      <c r="A115" s="1150" t="s">
        <v>346</v>
      </c>
      <c r="B115" s="1151" t="s">
        <v>347</v>
      </c>
      <c r="C115" s="1274"/>
      <c r="D115" s="1155"/>
      <c r="E115" s="1306">
        <f>+'1.mell._Össz_Mérleg2019'!C115</f>
        <v>0</v>
      </c>
      <c r="G115" s="143"/>
    </row>
    <row r="116" spans="1:7" s="143" customFormat="1" ht="12.75" thickBot="1">
      <c r="A116" s="1113" t="s">
        <v>3</v>
      </c>
      <c r="B116" s="1121" t="s">
        <v>343</v>
      </c>
      <c r="C116" s="1288">
        <f>+C118+C119+C120+C121+C122</f>
        <v>464066</v>
      </c>
      <c r="D116" s="133">
        <f>+D118+D119+D120+D121+D122</f>
        <v>690408</v>
      </c>
      <c r="E116" s="1289">
        <f>+E118+E119+E120+E121+E122</f>
        <v>391454</v>
      </c>
    </row>
    <row r="117" spans="1:7" s="1104" customFormat="1">
      <c r="A117" s="1150" t="s">
        <v>341</v>
      </c>
      <c r="B117" s="1151" t="s">
        <v>348</v>
      </c>
      <c r="C117" s="1274">
        <v>26759</v>
      </c>
      <c r="D117" s="1155"/>
      <c r="E117" s="1306">
        <f>+'1.mell._Össz_Mérleg2019'!C117</f>
        <v>0</v>
      </c>
      <c r="G117" s="143"/>
    </row>
    <row r="118" spans="1:7">
      <c r="A118" s="1122" t="s">
        <v>61</v>
      </c>
      <c r="B118" s="135" t="s">
        <v>129</v>
      </c>
      <c r="C118" s="1290">
        <v>73607</v>
      </c>
      <c r="D118" s="139">
        <v>70377</v>
      </c>
      <c r="E118" s="1291">
        <f>+'1.mell._Össz_Mérleg2019'!C118</f>
        <v>35803</v>
      </c>
      <c r="G118" s="143"/>
    </row>
    <row r="119" spans="1:7">
      <c r="A119" s="1126" t="s">
        <v>62</v>
      </c>
      <c r="B119" s="1127" t="s">
        <v>130</v>
      </c>
      <c r="C119" s="1293">
        <v>28983</v>
      </c>
      <c r="D119" s="1096">
        <v>24457</v>
      </c>
      <c r="E119" s="1294">
        <f>+'1.mell._Össz_Mérleg2019'!C119</f>
        <v>27174</v>
      </c>
      <c r="G119" s="143"/>
    </row>
    <row r="120" spans="1:7">
      <c r="A120" s="1126" t="s">
        <v>63</v>
      </c>
      <c r="B120" s="1127" t="s">
        <v>131</v>
      </c>
      <c r="C120" s="1293">
        <v>253186</v>
      </c>
      <c r="D120" s="1096">
        <v>437818</v>
      </c>
      <c r="E120" s="1294">
        <f>+'1.mell._Össz_Mérleg2019'!C120</f>
        <v>229364</v>
      </c>
      <c r="G120" s="143"/>
    </row>
    <row r="121" spans="1:7">
      <c r="A121" s="1126" t="s">
        <v>64</v>
      </c>
      <c r="B121" s="1127" t="s">
        <v>132</v>
      </c>
      <c r="C121" s="1293">
        <v>1095</v>
      </c>
      <c r="D121" s="1096">
        <v>3099</v>
      </c>
      <c r="E121" s="1294">
        <f>+'1.mell._Össz_Mérleg2019'!C121</f>
        <v>1940</v>
      </c>
      <c r="G121" s="143"/>
    </row>
    <row r="122" spans="1:7" ht="12.75" thickBot="1">
      <c r="A122" s="1128" t="s">
        <v>65</v>
      </c>
      <c r="B122" s="1129" t="s">
        <v>133</v>
      </c>
      <c r="C122" s="1273">
        <v>107195</v>
      </c>
      <c r="D122" s="1099">
        <v>154657</v>
      </c>
      <c r="E122" s="1295">
        <f>+'1.mell._Össz_Mérleg2019'!C122</f>
        <v>97173</v>
      </c>
      <c r="G122" s="143"/>
    </row>
    <row r="123" spans="1:7" s="143" customFormat="1" ht="12.75" thickBot="1">
      <c r="A123" s="1113" t="s">
        <v>16</v>
      </c>
      <c r="B123" s="1121" t="s">
        <v>310</v>
      </c>
      <c r="C123" s="1288">
        <f>+C124+C125+C126+C127+C128+C129+C130+C131</f>
        <v>48986</v>
      </c>
      <c r="D123" s="133">
        <f>+D124+D125+D126+D127+D128+D129+D130+D131</f>
        <v>54350</v>
      </c>
      <c r="E123" s="1289">
        <f>+E124+E125+E126+E127+E128+E129+E130+E131</f>
        <v>57543</v>
      </c>
    </row>
    <row r="124" spans="1:7">
      <c r="A124" s="1122" t="s">
        <v>227</v>
      </c>
      <c r="B124" s="135" t="s">
        <v>134</v>
      </c>
      <c r="C124" s="1290"/>
      <c r="D124" s="139"/>
      <c r="E124" s="1291">
        <f>+'1.mell._Össz_Mérleg2019'!C124</f>
        <v>0</v>
      </c>
      <c r="G124" s="143"/>
    </row>
    <row r="125" spans="1:7">
      <c r="A125" s="1126" t="s">
        <v>228</v>
      </c>
      <c r="B125" s="1127" t="s">
        <v>135</v>
      </c>
      <c r="C125" s="1293">
        <v>12895</v>
      </c>
      <c r="D125" s="1096">
        <v>12775</v>
      </c>
      <c r="E125" s="1294">
        <f>+'1.mell._Össz_Mérleg2019'!C125</f>
        <v>0</v>
      </c>
      <c r="G125" s="143"/>
    </row>
    <row r="126" spans="1:7">
      <c r="A126" s="1126" t="s">
        <v>229</v>
      </c>
      <c r="B126" s="1127" t="s">
        <v>136</v>
      </c>
      <c r="C126" s="1293"/>
      <c r="D126" s="1096"/>
      <c r="E126" s="1294">
        <f>+'1.mell._Össz_Mérleg2019'!C126</f>
        <v>0</v>
      </c>
      <c r="G126" s="143"/>
    </row>
    <row r="127" spans="1:7">
      <c r="A127" s="1126" t="s">
        <v>257</v>
      </c>
      <c r="B127" s="1127" t="s">
        <v>137</v>
      </c>
      <c r="C127" s="1293"/>
      <c r="D127" s="1096"/>
      <c r="E127" s="1294">
        <f>+'1.mell._Össz_Mérleg2019'!C127</f>
        <v>2400</v>
      </c>
      <c r="G127" s="143"/>
    </row>
    <row r="128" spans="1:7">
      <c r="A128" s="1126" t="s">
        <v>258</v>
      </c>
      <c r="B128" s="1127" t="s">
        <v>138</v>
      </c>
      <c r="C128" s="1293"/>
      <c r="D128" s="1096"/>
      <c r="E128" s="1294">
        <f>+'1.mell._Össz_Mérleg2019'!C128</f>
        <v>0</v>
      </c>
      <c r="G128" s="143"/>
    </row>
    <row r="129" spans="1:7">
      <c r="A129" s="1126" t="s">
        <v>259</v>
      </c>
      <c r="B129" s="1127" t="s">
        <v>139</v>
      </c>
      <c r="C129" s="1293"/>
      <c r="D129" s="1096"/>
      <c r="E129" s="1294">
        <f>+'1.mell._Össz_Mérleg2019'!C129</f>
        <v>19800</v>
      </c>
      <c r="G129" s="143"/>
    </row>
    <row r="130" spans="1:7">
      <c r="A130" s="1126" t="s">
        <v>260</v>
      </c>
      <c r="B130" s="1127" t="s">
        <v>140</v>
      </c>
      <c r="C130" s="1293"/>
      <c r="D130" s="1096">
        <v>2300</v>
      </c>
      <c r="E130" s="1294">
        <f>+'1.mell._Össz_Mérleg2019'!C130</f>
        <v>13143</v>
      </c>
      <c r="G130" s="143"/>
    </row>
    <row r="131" spans="1:7" ht="12.75" thickBot="1">
      <c r="A131" s="1128" t="s">
        <v>261</v>
      </c>
      <c r="B131" s="1129" t="s">
        <v>141</v>
      </c>
      <c r="C131" s="1273">
        <v>36091</v>
      </c>
      <c r="D131" s="1099">
        <v>39275</v>
      </c>
      <c r="E131" s="1295">
        <f>+'1.mell._Össz_Mérleg2019'!C131</f>
        <v>22200</v>
      </c>
      <c r="G131" s="143"/>
    </row>
    <row r="132" spans="1:7" s="143" customFormat="1" ht="12.75" thickBot="1">
      <c r="A132" s="1113" t="s">
        <v>15</v>
      </c>
      <c r="B132" s="1121" t="s">
        <v>933</v>
      </c>
      <c r="C132" s="1288">
        <f>+C133+C134+C135+C136+C137+C138+C140+C141+C142+C143+C144+C145+C146</f>
        <v>81816</v>
      </c>
      <c r="D132" s="133">
        <f>+D133+D134+D135+D136+D137+D138+D140+D141+D142+D143+D144+D145+D146</f>
        <v>73830</v>
      </c>
      <c r="E132" s="1289">
        <f>+E133+E134+E135+E136+E137+E138+E140+E141+E142+E143+E144+E145+E146</f>
        <v>2874202</v>
      </c>
    </row>
    <row r="133" spans="1:7">
      <c r="A133" s="1122" t="s">
        <v>87</v>
      </c>
      <c r="B133" s="135" t="s">
        <v>142</v>
      </c>
      <c r="C133" s="1290"/>
      <c r="D133" s="139"/>
      <c r="E133" s="1291">
        <f>+'1.mell._Össz_Mérleg2019'!C133</f>
        <v>0</v>
      </c>
      <c r="G133" s="143"/>
    </row>
    <row r="134" spans="1:7">
      <c r="A134" s="1126" t="s">
        <v>88</v>
      </c>
      <c r="B134" s="1127" t="s">
        <v>143</v>
      </c>
      <c r="C134" s="1293">
        <v>4504</v>
      </c>
      <c r="D134" s="1096">
        <v>4931</v>
      </c>
      <c r="E134" s="1294">
        <f>+'1.mell._Össz_Mérleg2019'!C134</f>
        <v>16166</v>
      </c>
      <c r="G134" s="143"/>
    </row>
    <row r="135" spans="1:7">
      <c r="A135" s="1126" t="s">
        <v>182</v>
      </c>
      <c r="B135" s="1127" t="s">
        <v>144</v>
      </c>
      <c r="C135" s="1293"/>
      <c r="D135" s="1096"/>
      <c r="E135" s="1294">
        <f>+'1.mell._Össz_Mérleg2019'!C135</f>
        <v>0</v>
      </c>
      <c r="G135" s="143"/>
    </row>
    <row r="136" spans="1:7">
      <c r="A136" s="1126" t="s">
        <v>183</v>
      </c>
      <c r="B136" s="1127" t="s">
        <v>145</v>
      </c>
      <c r="C136" s="1293"/>
      <c r="D136" s="1096"/>
      <c r="E136" s="1294">
        <f>+'1.mell._Össz_Mérleg2019'!C136</f>
        <v>0</v>
      </c>
      <c r="G136" s="143"/>
    </row>
    <row r="137" spans="1:7">
      <c r="A137" s="1126" t="s">
        <v>184</v>
      </c>
      <c r="B137" s="1127" t="s">
        <v>146</v>
      </c>
      <c r="C137" s="1293"/>
      <c r="D137" s="1096"/>
      <c r="E137" s="1294">
        <f>+'1.mell._Össz_Mérleg2019'!C137</f>
        <v>0</v>
      </c>
      <c r="G137" s="143"/>
    </row>
    <row r="138" spans="1:7">
      <c r="A138" s="1126" t="s">
        <v>262</v>
      </c>
      <c r="B138" s="1127" t="s">
        <v>147</v>
      </c>
      <c r="C138" s="1293">
        <v>20525</v>
      </c>
      <c r="D138" s="1096">
        <v>10526</v>
      </c>
      <c r="E138" s="1294">
        <f>+'1.mell._Össz_Mérleg2019'!C138</f>
        <v>9203</v>
      </c>
      <c r="G138" s="143"/>
    </row>
    <row r="139" spans="1:7" s="140" customFormat="1">
      <c r="A139" s="1130" t="s">
        <v>336</v>
      </c>
      <c r="B139" s="1131" t="s">
        <v>939</v>
      </c>
      <c r="C139" s="1272"/>
      <c r="D139" s="1135"/>
      <c r="E139" s="1296">
        <f>+'1.mell._Össz_Mérleg2019'!C139</f>
        <v>0</v>
      </c>
      <c r="G139" s="143"/>
    </row>
    <row r="140" spans="1:7">
      <c r="A140" s="1126" t="s">
        <v>263</v>
      </c>
      <c r="B140" s="1127" t="s">
        <v>148</v>
      </c>
      <c r="C140" s="1293"/>
      <c r="D140" s="1096">
        <v>9401</v>
      </c>
      <c r="E140" s="1294">
        <f>+'1.mell._Össz_Mérleg2019'!C140</f>
        <v>0</v>
      </c>
      <c r="G140" s="143"/>
    </row>
    <row r="141" spans="1:7">
      <c r="A141" s="1126" t="s">
        <v>264</v>
      </c>
      <c r="B141" s="1127" t="s">
        <v>149</v>
      </c>
      <c r="C141" s="1293"/>
      <c r="D141" s="1096"/>
      <c r="E141" s="1294">
        <f>+'1.mell._Össz_Mérleg2019'!C141</f>
        <v>4000</v>
      </c>
      <c r="G141" s="143"/>
    </row>
    <row r="142" spans="1:7">
      <c r="A142" s="1126" t="s">
        <v>265</v>
      </c>
      <c r="B142" s="1127" t="s">
        <v>150</v>
      </c>
      <c r="C142" s="1293"/>
      <c r="D142" s="1096"/>
      <c r="E142" s="1294">
        <f>+'1.mell._Össz_Mérleg2019'!C142</f>
        <v>0</v>
      </c>
      <c r="G142" s="143"/>
    </row>
    <row r="143" spans="1:7">
      <c r="A143" s="1126" t="s">
        <v>266</v>
      </c>
      <c r="B143" s="1127" t="s">
        <v>151</v>
      </c>
      <c r="C143" s="1293"/>
      <c r="D143" s="1096"/>
      <c r="E143" s="1294">
        <f>+'1.mell._Össz_Mérleg2019'!C143</f>
        <v>0</v>
      </c>
      <c r="G143" s="143"/>
    </row>
    <row r="144" spans="1:7">
      <c r="A144" s="1126" t="s">
        <v>267</v>
      </c>
      <c r="B144" s="1127" t="s">
        <v>934</v>
      </c>
      <c r="C144" s="1293"/>
      <c r="D144" s="1096"/>
      <c r="E144" s="1294">
        <f>+'1.mell._Össz_Mérleg2019'!C144</f>
        <v>0</v>
      </c>
      <c r="G144" s="143"/>
    </row>
    <row r="145" spans="1:7">
      <c r="A145" s="1126" t="s">
        <v>268</v>
      </c>
      <c r="B145" s="1127" t="s">
        <v>935</v>
      </c>
      <c r="C145" s="1293">
        <v>56787</v>
      </c>
      <c r="D145" s="1096">
        <v>48972</v>
      </c>
      <c r="E145" s="1294">
        <f>+'1.mell._Össz_Mérleg2019'!C145</f>
        <v>50700</v>
      </c>
      <c r="G145" s="143"/>
    </row>
    <row r="146" spans="1:7">
      <c r="A146" s="1128" t="s">
        <v>930</v>
      </c>
      <c r="B146" s="1129" t="s">
        <v>936</v>
      </c>
      <c r="C146" s="1273">
        <f>+C147+C148</f>
        <v>0</v>
      </c>
      <c r="D146" s="1099">
        <f>+D147+D148</f>
        <v>0</v>
      </c>
      <c r="E146" s="1295">
        <f>+E147+E148</f>
        <v>2794133</v>
      </c>
      <c r="G146" s="143"/>
    </row>
    <row r="147" spans="1:7" s="140" customFormat="1">
      <c r="A147" s="1130" t="s">
        <v>931</v>
      </c>
      <c r="B147" s="1156" t="s">
        <v>937</v>
      </c>
      <c r="C147" s="1272"/>
      <c r="D147" s="1135"/>
      <c r="E147" s="1296">
        <f>+'1.mell._Össz_Mérleg2019'!C147</f>
        <v>10000</v>
      </c>
      <c r="G147" s="143"/>
    </row>
    <row r="148" spans="1:7" s="140" customFormat="1" ht="12.75" thickBot="1">
      <c r="A148" s="1130" t="s">
        <v>932</v>
      </c>
      <c r="B148" s="1156" t="s">
        <v>938</v>
      </c>
      <c r="C148" s="1272"/>
      <c r="D148" s="1135"/>
      <c r="E148" s="1296">
        <f>+'1.mell._Össz_Mérleg2019'!C148</f>
        <v>2784133</v>
      </c>
      <c r="G148" s="143"/>
    </row>
    <row r="149" spans="1:7" s="143" customFormat="1" ht="12.75" thickBot="1">
      <c r="A149" s="1113" t="s">
        <v>14</v>
      </c>
      <c r="B149" s="1136" t="s">
        <v>311</v>
      </c>
      <c r="C149" s="1288">
        <f>+C150+C159+C165</f>
        <v>270952</v>
      </c>
      <c r="D149" s="133">
        <f>+D150+D159+D165</f>
        <v>701551</v>
      </c>
      <c r="E149" s="1289">
        <f>+E150+E159+E165</f>
        <v>485974</v>
      </c>
    </row>
    <row r="150" spans="1:7" s="143" customFormat="1" ht="12.75" thickBot="1">
      <c r="A150" s="1113" t="s">
        <v>13</v>
      </c>
      <c r="B150" s="1121" t="s">
        <v>312</v>
      </c>
      <c r="C150" s="1288">
        <f>+C152+C153+C154+C155+C156+C157+C158</f>
        <v>208326</v>
      </c>
      <c r="D150" s="133">
        <f>+D152+D153+D154+D155+D156+D157+D158</f>
        <v>467150</v>
      </c>
      <c r="E150" s="1289">
        <f>+E152+E153+E154+E155+E156+E157+E158</f>
        <v>466298</v>
      </c>
    </row>
    <row r="151" spans="1:7" s="1104" customFormat="1">
      <c r="A151" s="1150" t="s">
        <v>940</v>
      </c>
      <c r="B151" s="1151" t="s">
        <v>342</v>
      </c>
      <c r="C151" s="1274">
        <v>8329</v>
      </c>
      <c r="D151" s="1155"/>
      <c r="E151" s="1306">
        <f>+'1.mell._Össz_Mérleg2019'!C151</f>
        <v>0</v>
      </c>
      <c r="G151" s="143"/>
    </row>
    <row r="152" spans="1:7">
      <c r="A152" s="1122" t="s">
        <v>66</v>
      </c>
      <c r="B152" s="135" t="s">
        <v>152</v>
      </c>
      <c r="C152" s="1290">
        <v>142</v>
      </c>
      <c r="D152" s="139">
        <v>1102</v>
      </c>
      <c r="E152" s="1291">
        <f>+'1.mell._Össz_Mérleg2019'!C152</f>
        <v>7874</v>
      </c>
      <c r="G152" s="143"/>
    </row>
    <row r="153" spans="1:7">
      <c r="A153" s="1126" t="s">
        <v>67</v>
      </c>
      <c r="B153" s="1127" t="s">
        <v>153</v>
      </c>
      <c r="C153" s="1293">
        <v>138746</v>
      </c>
      <c r="D153" s="1096">
        <v>309562</v>
      </c>
      <c r="E153" s="1294">
        <f>+'1.mell._Össz_Mérleg2019'!C153</f>
        <v>429715</v>
      </c>
      <c r="G153" s="143"/>
    </row>
    <row r="154" spans="1:7">
      <c r="A154" s="1126" t="s">
        <v>68</v>
      </c>
      <c r="B154" s="1127" t="s">
        <v>154</v>
      </c>
      <c r="C154" s="1293">
        <v>1078</v>
      </c>
      <c r="D154" s="1096">
        <v>19430</v>
      </c>
      <c r="E154" s="1294">
        <f>+'1.mell._Össz_Mérleg2019'!C154</f>
        <v>2709</v>
      </c>
      <c r="G154" s="143"/>
    </row>
    <row r="155" spans="1:7">
      <c r="A155" s="1126" t="s">
        <v>230</v>
      </c>
      <c r="B155" s="1127" t="s">
        <v>155</v>
      </c>
      <c r="C155" s="1293">
        <v>52048</v>
      </c>
      <c r="D155" s="1096">
        <v>54805</v>
      </c>
      <c r="E155" s="1294">
        <f>+'1.mell._Össz_Mérleg2019'!C155</f>
        <v>10356</v>
      </c>
      <c r="G155" s="143"/>
    </row>
    <row r="156" spans="1:7">
      <c r="A156" s="1126" t="s">
        <v>231</v>
      </c>
      <c r="B156" s="1127" t="s">
        <v>156</v>
      </c>
      <c r="C156" s="1293"/>
      <c r="D156" s="1096"/>
      <c r="E156" s="1294">
        <f>+'1.mell._Össz_Mérleg2019'!C156</f>
        <v>0</v>
      </c>
      <c r="G156" s="143"/>
    </row>
    <row r="157" spans="1:7">
      <c r="A157" s="1126" t="s">
        <v>269</v>
      </c>
      <c r="B157" s="1127" t="s">
        <v>157</v>
      </c>
      <c r="C157" s="1293"/>
      <c r="D157" s="1096"/>
      <c r="E157" s="1294">
        <f>+'1.mell._Össz_Mérleg2019'!C157</f>
        <v>0</v>
      </c>
      <c r="G157" s="143"/>
    </row>
    <row r="158" spans="1:7" ht="12.75" thickBot="1">
      <c r="A158" s="1128" t="s">
        <v>270</v>
      </c>
      <c r="B158" s="1129" t="s">
        <v>158</v>
      </c>
      <c r="C158" s="1273">
        <v>16312</v>
      </c>
      <c r="D158" s="1099">
        <v>82251</v>
      </c>
      <c r="E158" s="1295">
        <f>+'1.mell._Össz_Mérleg2019'!C158</f>
        <v>15644</v>
      </c>
      <c r="G158" s="143"/>
    </row>
    <row r="159" spans="1:7" s="143" customFormat="1" ht="12.75" thickBot="1">
      <c r="A159" s="1113" t="s">
        <v>12</v>
      </c>
      <c r="B159" s="1121" t="s">
        <v>313</v>
      </c>
      <c r="C159" s="1288">
        <f>+C161+C162+C163+C164</f>
        <v>62626</v>
      </c>
      <c r="D159" s="133">
        <f>+D161+D162+D163+D164</f>
        <v>233201</v>
      </c>
      <c r="E159" s="1289">
        <f>+E161+E162+E163+E164</f>
        <v>19676</v>
      </c>
    </row>
    <row r="160" spans="1:7" s="1104" customFormat="1">
      <c r="A160" s="1150" t="s">
        <v>344</v>
      </c>
      <c r="B160" s="1151" t="s">
        <v>345</v>
      </c>
      <c r="C160" s="1274">
        <v>743</v>
      </c>
      <c r="D160" s="1155"/>
      <c r="E160" s="1306">
        <f>+'1.mell._Össz_Mérleg2019'!C160</f>
        <v>0</v>
      </c>
      <c r="G160" s="143"/>
    </row>
    <row r="161" spans="1:7">
      <c r="A161" s="1122" t="s">
        <v>69</v>
      </c>
      <c r="B161" s="135" t="s">
        <v>159</v>
      </c>
      <c r="C161" s="1290">
        <v>49935</v>
      </c>
      <c r="D161" s="139">
        <v>181623</v>
      </c>
      <c r="E161" s="1291">
        <f>+'1.mell._Össz_Mérleg2019'!C161</f>
        <v>15492</v>
      </c>
      <c r="G161" s="143"/>
    </row>
    <row r="162" spans="1:7">
      <c r="A162" s="1126" t="s">
        <v>70</v>
      </c>
      <c r="B162" s="1127" t="s">
        <v>160</v>
      </c>
      <c r="C162" s="1293"/>
      <c r="D162" s="1096"/>
      <c r="E162" s="1294">
        <f>+'1.mell._Össz_Mérleg2019'!C162</f>
        <v>0</v>
      </c>
      <c r="G162" s="143"/>
    </row>
    <row r="163" spans="1:7">
      <c r="A163" s="1126" t="s">
        <v>71</v>
      </c>
      <c r="B163" s="1127" t="s">
        <v>161</v>
      </c>
      <c r="C163" s="1293"/>
      <c r="D163" s="1096">
        <v>2109</v>
      </c>
      <c r="E163" s="1294">
        <f>+'1.mell._Össz_Mérleg2019'!C163</f>
        <v>0</v>
      </c>
      <c r="G163" s="143"/>
    </row>
    <row r="164" spans="1:7" ht="12.75" thickBot="1">
      <c r="A164" s="1128" t="s">
        <v>72</v>
      </c>
      <c r="B164" s="1129" t="s">
        <v>162</v>
      </c>
      <c r="C164" s="1273">
        <v>12691</v>
      </c>
      <c r="D164" s="1099">
        <v>49469</v>
      </c>
      <c r="E164" s="1295">
        <f>+'1.mell._Össz_Mérleg2019'!C164</f>
        <v>4184</v>
      </c>
      <c r="G164" s="143"/>
    </row>
    <row r="165" spans="1:7" s="143" customFormat="1" ht="12.75" thickBot="1">
      <c r="A165" s="1113" t="s">
        <v>11</v>
      </c>
      <c r="B165" s="1121" t="s">
        <v>942</v>
      </c>
      <c r="C165" s="1288">
        <f>+C166+C167+C168+C169+C171+C172+C173+C174+C175</f>
        <v>0</v>
      </c>
      <c r="D165" s="133">
        <f>+D166+D167+D168+D169+D171+D172+D173+D174+D175</f>
        <v>1200</v>
      </c>
      <c r="E165" s="1289">
        <f>+E166+E167+E168+E169+E171+E172+E173+E174+E175</f>
        <v>0</v>
      </c>
    </row>
    <row r="166" spans="1:7">
      <c r="A166" s="1122" t="s">
        <v>271</v>
      </c>
      <c r="B166" s="135" t="s">
        <v>163</v>
      </c>
      <c r="C166" s="1290"/>
      <c r="D166" s="139"/>
      <c r="E166" s="1291">
        <f>+'1.mell._Össz_Mérleg2019'!C166</f>
        <v>0</v>
      </c>
      <c r="G166" s="143"/>
    </row>
    <row r="167" spans="1:7">
      <c r="A167" s="1126" t="s">
        <v>272</v>
      </c>
      <c r="B167" s="1127" t="s">
        <v>164</v>
      </c>
      <c r="C167" s="1293"/>
      <c r="D167" s="1096"/>
      <c r="E167" s="1294">
        <f>+'1.mell._Össz_Mérleg2019'!C167</f>
        <v>0</v>
      </c>
      <c r="G167" s="143"/>
    </row>
    <row r="168" spans="1:7">
      <c r="A168" s="1126" t="s">
        <v>273</v>
      </c>
      <c r="B168" s="1127" t="s">
        <v>165</v>
      </c>
      <c r="C168" s="1293"/>
      <c r="D168" s="1096"/>
      <c r="E168" s="1294">
        <f>+'1.mell._Össz_Mérleg2019'!C168</f>
        <v>0</v>
      </c>
      <c r="G168" s="143"/>
    </row>
    <row r="169" spans="1:7">
      <c r="A169" s="1126" t="s">
        <v>274</v>
      </c>
      <c r="B169" s="1127" t="s">
        <v>166</v>
      </c>
      <c r="C169" s="1293"/>
      <c r="D169" s="1096">
        <v>1200</v>
      </c>
      <c r="E169" s="1294">
        <f>+'1.mell._Össz_Mérleg2019'!C169</f>
        <v>0</v>
      </c>
      <c r="G169" s="143"/>
    </row>
    <row r="170" spans="1:7" s="140" customFormat="1">
      <c r="A170" s="1130" t="s">
        <v>339</v>
      </c>
      <c r="B170" s="1131" t="s">
        <v>340</v>
      </c>
      <c r="C170" s="1272"/>
      <c r="D170" s="1135"/>
      <c r="E170" s="1296">
        <f>+'1.mell._Össz_Mérleg2019'!C170</f>
        <v>0</v>
      </c>
      <c r="G170" s="143"/>
    </row>
    <row r="171" spans="1:7">
      <c r="A171" s="1126" t="s">
        <v>275</v>
      </c>
      <c r="B171" s="1127" t="s">
        <v>167</v>
      </c>
      <c r="C171" s="1293"/>
      <c r="D171" s="1096"/>
      <c r="E171" s="1294">
        <f>+'1.mell._Össz_Mérleg2019'!C171</f>
        <v>0</v>
      </c>
      <c r="G171" s="143"/>
    </row>
    <row r="172" spans="1:7">
      <c r="A172" s="1126" t="s">
        <v>276</v>
      </c>
      <c r="B172" s="1127" t="s">
        <v>168</v>
      </c>
      <c r="C172" s="1293"/>
      <c r="D172" s="1096"/>
      <c r="E172" s="1294">
        <f>+'1.mell._Össz_Mérleg2019'!C172</f>
        <v>0</v>
      </c>
      <c r="G172" s="143"/>
    </row>
    <row r="173" spans="1:7">
      <c r="A173" s="1126" t="s">
        <v>277</v>
      </c>
      <c r="B173" s="1127" t="s">
        <v>169</v>
      </c>
      <c r="C173" s="1293"/>
      <c r="D173" s="1096"/>
      <c r="E173" s="1294">
        <f>+'1.mell._Össz_Mérleg2019'!C173</f>
        <v>0</v>
      </c>
      <c r="G173" s="143"/>
    </row>
    <row r="174" spans="1:7">
      <c r="A174" s="1126" t="s">
        <v>278</v>
      </c>
      <c r="B174" s="1127" t="s">
        <v>943</v>
      </c>
      <c r="C174" s="1293"/>
      <c r="D174" s="1096"/>
      <c r="E174" s="1294">
        <f>+'1.mell._Össz_Mérleg2019'!C174</f>
        <v>0</v>
      </c>
      <c r="G174" s="143"/>
    </row>
    <row r="175" spans="1:7" ht="12.75" thickBot="1">
      <c r="A175" s="1128" t="s">
        <v>941</v>
      </c>
      <c r="B175" s="1129" t="s">
        <v>944</v>
      </c>
      <c r="C175" s="1273"/>
      <c r="D175" s="1099"/>
      <c r="E175" s="1295">
        <f>+'1.mell._Össz_Mérleg2019'!C175</f>
        <v>0</v>
      </c>
      <c r="G175" s="143"/>
    </row>
    <row r="176" spans="1:7" s="143" customFormat="1" ht="12.75" thickBot="1">
      <c r="A176" s="1113" t="s">
        <v>10</v>
      </c>
      <c r="B176" s="1136" t="s">
        <v>314</v>
      </c>
      <c r="C176" s="1288">
        <f>+C109+C149</f>
        <v>1779229</v>
      </c>
      <c r="D176" s="133">
        <f>+D109+D149</f>
        <v>2513114</v>
      </c>
      <c r="E176" s="1289">
        <f>+E109+E149</f>
        <v>4596548</v>
      </c>
    </row>
    <row r="177" spans="1:7" s="143" customFormat="1" ht="12.75" thickBot="1">
      <c r="A177" s="1113" t="s">
        <v>9</v>
      </c>
      <c r="B177" s="1137" t="s">
        <v>315</v>
      </c>
      <c r="C177" s="1288">
        <f>+C178</f>
        <v>638506</v>
      </c>
      <c r="D177" s="133">
        <f>+D178</f>
        <v>110911</v>
      </c>
      <c r="E177" s="1289">
        <f>+E178</f>
        <v>26671</v>
      </c>
    </row>
    <row r="178" spans="1:7" s="143" customFormat="1" ht="12.75" thickBot="1">
      <c r="A178" s="1113" t="s">
        <v>45</v>
      </c>
      <c r="B178" s="1121" t="s">
        <v>951</v>
      </c>
      <c r="C178" s="1288">
        <f>+C179+C189+C190+C191</f>
        <v>638506</v>
      </c>
      <c r="D178" s="133">
        <f>+D179+D189+D190+D191</f>
        <v>110911</v>
      </c>
      <c r="E178" s="1289">
        <f>+E179+E189+E190+E191</f>
        <v>26671</v>
      </c>
    </row>
    <row r="179" spans="1:7">
      <c r="A179" s="1122" t="s">
        <v>75</v>
      </c>
      <c r="B179" s="135" t="s">
        <v>952</v>
      </c>
      <c r="C179" s="1290">
        <f>+C180+C181+C182+C183+C184+C185+C186+C187+C188</f>
        <v>638506</v>
      </c>
      <c r="D179" s="139">
        <f>+D180+D181+D182+D183+D184+D185+D186+D187+D188</f>
        <v>110911</v>
      </c>
      <c r="E179" s="1291">
        <f>+E180+E181+E182+E183+E184+E185+E186+E187+E188</f>
        <v>26671</v>
      </c>
      <c r="G179" s="143"/>
    </row>
    <row r="180" spans="1:7" s="140" customFormat="1">
      <c r="A180" s="127" t="s">
        <v>205</v>
      </c>
      <c r="B180" s="128" t="s">
        <v>170</v>
      </c>
      <c r="C180" s="1292">
        <v>613394</v>
      </c>
      <c r="D180" s="771">
        <v>85565</v>
      </c>
      <c r="E180" s="909">
        <f>+'1.mell._Össz_Mérleg2019'!C180</f>
        <v>0</v>
      </c>
      <c r="G180" s="143"/>
    </row>
    <row r="181" spans="1:7" s="140" customFormat="1">
      <c r="A181" s="127" t="s">
        <v>206</v>
      </c>
      <c r="B181" s="128" t="s">
        <v>171</v>
      </c>
      <c r="C181" s="1292"/>
      <c r="D181" s="771"/>
      <c r="E181" s="909">
        <f>+'1.mell._Össz_Mérleg2019'!C181</f>
        <v>0</v>
      </c>
      <c r="G181" s="143"/>
    </row>
    <row r="182" spans="1:7" s="140" customFormat="1">
      <c r="A182" s="127" t="s">
        <v>207</v>
      </c>
      <c r="B182" s="128" t="s">
        <v>172</v>
      </c>
      <c r="C182" s="1292"/>
      <c r="D182" s="771"/>
      <c r="E182" s="909">
        <f>+'1.mell._Össz_Mérleg2019'!C182</f>
        <v>0</v>
      </c>
      <c r="G182" s="143"/>
    </row>
    <row r="183" spans="1:7" s="140" customFormat="1">
      <c r="A183" s="127" t="s">
        <v>208</v>
      </c>
      <c r="B183" s="128" t="s">
        <v>173</v>
      </c>
      <c r="C183" s="1292">
        <v>25112</v>
      </c>
      <c r="D183" s="771">
        <v>25346</v>
      </c>
      <c r="E183" s="909">
        <f>+'1.mell._Össz_Mérleg2019'!C183</f>
        <v>26671</v>
      </c>
      <c r="G183" s="143"/>
    </row>
    <row r="184" spans="1:7" s="140" customFormat="1">
      <c r="A184" s="127" t="s">
        <v>209</v>
      </c>
      <c r="B184" s="128" t="s">
        <v>174</v>
      </c>
      <c r="C184" s="1292"/>
      <c r="D184" s="771"/>
      <c r="E184" s="909">
        <f>+'1.mell._Össz_Mérleg2019'!C184</f>
        <v>0</v>
      </c>
      <c r="G184" s="143"/>
    </row>
    <row r="185" spans="1:7" s="140" customFormat="1">
      <c r="A185" s="127" t="s">
        <v>210</v>
      </c>
      <c r="B185" s="128" t="s">
        <v>179</v>
      </c>
      <c r="C185" s="1292"/>
      <c r="D185" s="771"/>
      <c r="E185" s="909">
        <f>+'1.mell._Össz_Mérleg2019'!C185</f>
        <v>0</v>
      </c>
      <c r="G185" s="143"/>
    </row>
    <row r="186" spans="1:7" s="140" customFormat="1">
      <c r="A186" s="127" t="s">
        <v>211</v>
      </c>
      <c r="B186" s="128" t="s">
        <v>175</v>
      </c>
      <c r="C186" s="1292"/>
      <c r="D186" s="771"/>
      <c r="E186" s="909">
        <f>+'1.mell._Össz_Mérleg2019'!C186</f>
        <v>0</v>
      </c>
      <c r="G186" s="143"/>
    </row>
    <row r="187" spans="1:7" s="140" customFormat="1">
      <c r="A187" s="127" t="s">
        <v>212</v>
      </c>
      <c r="B187" s="128" t="s">
        <v>176</v>
      </c>
      <c r="C187" s="1292"/>
      <c r="D187" s="771"/>
      <c r="E187" s="909">
        <f>+'1.mell._Össz_Mérleg2019'!C187</f>
        <v>0</v>
      </c>
      <c r="G187" s="143"/>
    </row>
    <row r="188" spans="1:7" s="140" customFormat="1">
      <c r="A188" s="127" t="s">
        <v>945</v>
      </c>
      <c r="B188" s="128" t="s">
        <v>947</v>
      </c>
      <c r="C188" s="1292"/>
      <c r="D188" s="771"/>
      <c r="E188" s="909">
        <f>+'1.mell._Össz_Mérleg2019'!C188</f>
        <v>0</v>
      </c>
      <c r="G188" s="143"/>
    </row>
    <row r="189" spans="1:7">
      <c r="A189" s="1126" t="s">
        <v>76</v>
      </c>
      <c r="B189" s="1127" t="s">
        <v>177</v>
      </c>
      <c r="C189" s="1293"/>
      <c r="D189" s="1096"/>
      <c r="E189" s="1294">
        <f>+'1.mell._Össz_Mérleg2019'!C189</f>
        <v>0</v>
      </c>
      <c r="G189" s="143"/>
    </row>
    <row r="190" spans="1:7">
      <c r="A190" s="1128" t="s">
        <v>77</v>
      </c>
      <c r="B190" s="1129" t="s">
        <v>178</v>
      </c>
      <c r="C190" s="1273"/>
      <c r="D190" s="1099"/>
      <c r="E190" s="1295">
        <f>+'1.mell._Össz_Mérleg2019'!C190</f>
        <v>0</v>
      </c>
      <c r="G190" s="143"/>
    </row>
    <row r="191" spans="1:7" ht="12.75" thickBot="1">
      <c r="A191" s="1128" t="s">
        <v>950</v>
      </c>
      <c r="B191" s="1129" t="s">
        <v>948</v>
      </c>
      <c r="C191" s="1273"/>
      <c r="D191" s="1099"/>
      <c r="E191" s="1295">
        <f>+'1.mell._Össz_Mérleg2019'!C191</f>
        <v>0</v>
      </c>
      <c r="G191" s="143"/>
    </row>
    <row r="192" spans="1:7" s="143" customFormat="1" ht="12.75" thickBot="1">
      <c r="A192" s="1113" t="s">
        <v>44</v>
      </c>
      <c r="B192" s="1136" t="s">
        <v>316</v>
      </c>
      <c r="C192" s="1288">
        <f>+C193</f>
        <v>9970</v>
      </c>
      <c r="D192" s="133">
        <f>+D193</f>
        <v>0</v>
      </c>
      <c r="E192" s="1289">
        <f>+E193</f>
        <v>0</v>
      </c>
    </row>
    <row r="193" spans="1:7" s="143" customFormat="1" ht="12.75" thickBot="1">
      <c r="A193" s="1113" t="s">
        <v>43</v>
      </c>
      <c r="B193" s="1121" t="s">
        <v>946</v>
      </c>
      <c r="C193" s="1288">
        <f>+C194+C204+C205+C206</f>
        <v>9970</v>
      </c>
      <c r="D193" s="133">
        <f>+D194+D204+D205+D206</f>
        <v>0</v>
      </c>
      <c r="E193" s="1289">
        <f>+E194+E204+E205+E206</f>
        <v>0</v>
      </c>
    </row>
    <row r="194" spans="1:7">
      <c r="A194" s="1122" t="s">
        <v>78</v>
      </c>
      <c r="B194" s="135" t="s">
        <v>984</v>
      </c>
      <c r="C194" s="1290">
        <f>+C195+C196+C197+C198+C199+C200+C201+C202+C203</f>
        <v>9970</v>
      </c>
      <c r="D194" s="139">
        <f>+D195+D196+D197+D198+D199+D200+D201+D202+D203</f>
        <v>0</v>
      </c>
      <c r="E194" s="1291">
        <f>+E195+E196+E197+E198+E199+E200+E201+E202+E203</f>
        <v>0</v>
      </c>
      <c r="G194" s="143"/>
    </row>
    <row r="195" spans="1:7" s="140" customFormat="1">
      <c r="A195" s="127" t="s">
        <v>213</v>
      </c>
      <c r="B195" s="128" t="s">
        <v>170</v>
      </c>
      <c r="C195" s="1292">
        <v>9970</v>
      </c>
      <c r="D195" s="771"/>
      <c r="E195" s="909">
        <f>+'1.mell._Össz_Mérleg2019'!C195</f>
        <v>0</v>
      </c>
      <c r="G195" s="143"/>
    </row>
    <row r="196" spans="1:7" s="140" customFormat="1">
      <c r="A196" s="127" t="s">
        <v>214</v>
      </c>
      <c r="B196" s="128" t="s">
        <v>171</v>
      </c>
      <c r="C196" s="1292"/>
      <c r="D196" s="771"/>
      <c r="E196" s="909">
        <f>+'1.mell._Össz_Mérleg2019'!C196</f>
        <v>0</v>
      </c>
      <c r="G196" s="143"/>
    </row>
    <row r="197" spans="1:7" s="140" customFormat="1">
      <c r="A197" s="127" t="s">
        <v>215</v>
      </c>
      <c r="B197" s="128" t="s">
        <v>172</v>
      </c>
      <c r="C197" s="1292"/>
      <c r="D197" s="771"/>
      <c r="E197" s="909">
        <f>+'1.mell._Össz_Mérleg2019'!C197</f>
        <v>0</v>
      </c>
      <c r="G197" s="143"/>
    </row>
    <row r="198" spans="1:7" s="140" customFormat="1">
      <c r="A198" s="127" t="s">
        <v>216</v>
      </c>
      <c r="B198" s="128" t="s">
        <v>173</v>
      </c>
      <c r="C198" s="1292"/>
      <c r="D198" s="771"/>
      <c r="E198" s="909">
        <f>+'1.mell._Össz_Mérleg2019'!C198</f>
        <v>0</v>
      </c>
      <c r="G198" s="143"/>
    </row>
    <row r="199" spans="1:7" s="140" customFormat="1">
      <c r="A199" s="127" t="s">
        <v>217</v>
      </c>
      <c r="B199" s="128" t="s">
        <v>174</v>
      </c>
      <c r="C199" s="1292"/>
      <c r="D199" s="771"/>
      <c r="E199" s="909">
        <f>+'1.mell._Össz_Mérleg2019'!C199</f>
        <v>0</v>
      </c>
      <c r="G199" s="143"/>
    </row>
    <row r="200" spans="1:7" s="140" customFormat="1">
      <c r="A200" s="127" t="s">
        <v>218</v>
      </c>
      <c r="B200" s="128" t="s">
        <v>179</v>
      </c>
      <c r="C200" s="1292"/>
      <c r="D200" s="771"/>
      <c r="E200" s="909">
        <f>+'1.mell._Össz_Mérleg2019'!C200</f>
        <v>0</v>
      </c>
      <c r="G200" s="143"/>
    </row>
    <row r="201" spans="1:7" s="140" customFormat="1">
      <c r="A201" s="127" t="s">
        <v>219</v>
      </c>
      <c r="B201" s="128" t="s">
        <v>175</v>
      </c>
      <c r="C201" s="1292"/>
      <c r="D201" s="771"/>
      <c r="E201" s="909">
        <f>+'1.mell._Össz_Mérleg2019'!C201</f>
        <v>0</v>
      </c>
      <c r="G201" s="143"/>
    </row>
    <row r="202" spans="1:7" s="140" customFormat="1">
      <c r="A202" s="127" t="s">
        <v>220</v>
      </c>
      <c r="B202" s="128" t="s">
        <v>176</v>
      </c>
      <c r="C202" s="1292"/>
      <c r="D202" s="771"/>
      <c r="E202" s="909">
        <f>+'1.mell._Össz_Mérleg2019'!C202</f>
        <v>0</v>
      </c>
      <c r="G202" s="143"/>
    </row>
    <row r="203" spans="1:7" s="140" customFormat="1">
      <c r="A203" s="127" t="s">
        <v>945</v>
      </c>
      <c r="B203" s="128" t="s">
        <v>947</v>
      </c>
      <c r="C203" s="1292"/>
      <c r="D203" s="771"/>
      <c r="E203" s="909">
        <f>+'1.mell._Össz_Mérleg2019'!C203</f>
        <v>0</v>
      </c>
      <c r="G203" s="143"/>
    </row>
    <row r="204" spans="1:7">
      <c r="A204" s="1126" t="s">
        <v>79</v>
      </c>
      <c r="B204" s="1127" t="s">
        <v>177</v>
      </c>
      <c r="C204" s="1293"/>
      <c r="D204" s="1096"/>
      <c r="E204" s="1294">
        <f>+'1.mell._Össz_Mérleg2019'!C204</f>
        <v>0</v>
      </c>
      <c r="G204" s="143"/>
    </row>
    <row r="205" spans="1:7">
      <c r="A205" s="1128" t="s">
        <v>221</v>
      </c>
      <c r="B205" s="1129" t="s">
        <v>178</v>
      </c>
      <c r="C205" s="1273"/>
      <c r="D205" s="1099"/>
      <c r="E205" s="1295">
        <f>+'1.mell._Össz_Mérleg2019'!C205</f>
        <v>0</v>
      </c>
      <c r="G205" s="143"/>
    </row>
    <row r="206" spans="1:7" ht="12.75" thickBot="1">
      <c r="A206" s="1128" t="s">
        <v>949</v>
      </c>
      <c r="B206" s="1129" t="s">
        <v>948</v>
      </c>
      <c r="C206" s="1273"/>
      <c r="D206" s="1099"/>
      <c r="E206" s="1295">
        <f>+'1.mell._Össz_Mérleg2019'!C206</f>
        <v>0</v>
      </c>
      <c r="G206" s="143"/>
    </row>
    <row r="207" spans="1:7" s="143" customFormat="1" ht="12.75" thickBot="1">
      <c r="A207" s="1113" t="s">
        <v>40</v>
      </c>
      <c r="B207" s="1136" t="s">
        <v>317</v>
      </c>
      <c r="C207" s="1288">
        <f>+C177+C192</f>
        <v>648476</v>
      </c>
      <c r="D207" s="133">
        <f>+D177+D192</f>
        <v>110911</v>
      </c>
      <c r="E207" s="1289">
        <f>+E177+E192</f>
        <v>26671</v>
      </c>
    </row>
    <row r="208" spans="1:7" s="143" customFormat="1" ht="12.75" thickBot="1">
      <c r="A208" s="1138" t="s">
        <v>39</v>
      </c>
      <c r="B208" s="1139" t="s">
        <v>335</v>
      </c>
      <c r="C208" s="1300">
        <f>+C176+C207</f>
        <v>2427705</v>
      </c>
      <c r="D208" s="1143">
        <f>+D176+D207</f>
        <v>2624025</v>
      </c>
      <c r="E208" s="1301">
        <f>+E176+E207</f>
        <v>4623219</v>
      </c>
    </row>
    <row r="209" spans="1:26" s="140" customFormat="1">
      <c r="G209" s="143"/>
    </row>
    <row r="210" spans="1:26" s="1104" customFormat="1">
      <c r="G210" s="143"/>
    </row>
    <row r="211" spans="1:26" s="1" customFormat="1" ht="15.75">
      <c r="A211" s="1434" t="s">
        <v>89</v>
      </c>
      <c r="B211" s="1434"/>
      <c r="C211" s="1434"/>
      <c r="D211" s="1434"/>
      <c r="E211" s="1434"/>
      <c r="F211" s="2"/>
      <c r="G211" s="14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s="1104" customFormat="1" ht="12.75" thickBot="1">
      <c r="A212" s="1103" t="s">
        <v>282</v>
      </c>
      <c r="E212" s="1105" t="s">
        <v>281</v>
      </c>
      <c r="G212" s="143"/>
    </row>
    <row r="213" spans="1:26" s="143" customFormat="1" ht="12.75" thickBot="1">
      <c r="A213" s="1113" t="s">
        <v>4</v>
      </c>
      <c r="B213" s="1136" t="s">
        <v>318</v>
      </c>
      <c r="C213" s="1288">
        <f>+C214+C215</f>
        <v>1841275</v>
      </c>
      <c r="D213" s="133">
        <f>+D214+D215</f>
        <v>904121</v>
      </c>
      <c r="E213" s="1289">
        <f>+E214+E215</f>
        <v>-2722100</v>
      </c>
    </row>
    <row r="214" spans="1:26">
      <c r="A214" s="1122" t="s">
        <v>81</v>
      </c>
      <c r="B214" s="1165" t="s">
        <v>319</v>
      </c>
      <c r="C214" s="1290">
        <f>+C10-C109</f>
        <v>214867</v>
      </c>
      <c r="D214" s="139">
        <f>+D10-D109</f>
        <v>264635</v>
      </c>
      <c r="E214" s="1291">
        <f>+E10-E109</f>
        <v>-2625375</v>
      </c>
      <c r="G214" s="143"/>
    </row>
    <row r="215" spans="1:26" ht="12.75" thickBot="1">
      <c r="A215" s="1166" t="s">
        <v>82</v>
      </c>
      <c r="B215" s="1167" t="s">
        <v>320</v>
      </c>
      <c r="C215" s="1307">
        <f>+C50-C149</f>
        <v>1626408</v>
      </c>
      <c r="D215" s="1164">
        <f>+D50-D149</f>
        <v>639486</v>
      </c>
      <c r="E215" s="1308">
        <f>+E50-E149</f>
        <v>-96725</v>
      </c>
      <c r="G215" s="143"/>
    </row>
    <row r="216" spans="1:26">
      <c r="G216" s="143"/>
    </row>
    <row r="217" spans="1:26">
      <c r="G217" s="143"/>
    </row>
    <row r="218" spans="1:26" s="1" customFormat="1" ht="15.75">
      <c r="A218" s="1434" t="s">
        <v>90</v>
      </c>
      <c r="B218" s="1434"/>
      <c r="C218" s="1434"/>
      <c r="D218" s="1434"/>
      <c r="E218" s="1434"/>
      <c r="F218" s="2"/>
      <c r="G218" s="14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s="1104" customFormat="1" ht="12.75" thickBot="1">
      <c r="A219" s="1103" t="s">
        <v>283</v>
      </c>
      <c r="E219" s="1105" t="s">
        <v>281</v>
      </c>
      <c r="G219" s="143"/>
    </row>
    <row r="220" spans="1:26" s="143" customFormat="1" ht="12.75" thickBot="1">
      <c r="A220" s="1113" t="s">
        <v>4</v>
      </c>
      <c r="B220" s="1136" t="s">
        <v>321</v>
      </c>
      <c r="C220" s="1288">
        <f>+C221+C228</f>
        <v>353837</v>
      </c>
      <c r="D220" s="133">
        <f>+D221+D228</f>
        <v>2196437</v>
      </c>
      <c r="E220" s="1289">
        <f>+E221+E228</f>
        <v>2722100</v>
      </c>
    </row>
    <row r="221" spans="1:26" s="143" customFormat="1" ht="12.75" thickBot="1">
      <c r="A221" s="1113" t="s">
        <v>5</v>
      </c>
      <c r="B221" s="1121" t="s">
        <v>322</v>
      </c>
      <c r="C221" s="1288">
        <f>+C222-C225</f>
        <v>122457</v>
      </c>
      <c r="D221" s="133">
        <f>+D222-D225</f>
        <v>2196437</v>
      </c>
      <c r="E221" s="1289">
        <f>+E222-E225</f>
        <v>2712101</v>
      </c>
    </row>
    <row r="222" spans="1:26">
      <c r="A222" s="1122" t="s">
        <v>54</v>
      </c>
      <c r="B222" s="135" t="s">
        <v>323</v>
      </c>
      <c r="C222" s="1290">
        <f>+C223+C224</f>
        <v>760963</v>
      </c>
      <c r="D222" s="139">
        <f>+D223+D224</f>
        <v>2307348</v>
      </c>
      <c r="E222" s="1291">
        <f>+E223+E224</f>
        <v>2738772</v>
      </c>
      <c r="G222" s="143"/>
    </row>
    <row r="223" spans="1:26" s="140" customFormat="1">
      <c r="A223" s="127" t="s">
        <v>190</v>
      </c>
      <c r="B223" s="128" t="s">
        <v>285</v>
      </c>
      <c r="C223" s="1292">
        <f>+C76+C80</f>
        <v>122223</v>
      </c>
      <c r="D223" s="771">
        <f>+D76+D80</f>
        <v>2195112</v>
      </c>
      <c r="E223" s="909">
        <f>+E76+E80</f>
        <v>2738772</v>
      </c>
      <c r="G223" s="143"/>
    </row>
    <row r="224" spans="1:26" s="140" customFormat="1">
      <c r="A224" s="127" t="s">
        <v>191</v>
      </c>
      <c r="B224" s="128" t="s">
        <v>286</v>
      </c>
      <c r="C224" s="1292">
        <f>+C74+C75+C77+C78+C79+C81</f>
        <v>638740</v>
      </c>
      <c r="D224" s="771">
        <f>+D74+D75+D77+D78+D79+D81</f>
        <v>112236</v>
      </c>
      <c r="E224" s="909">
        <f>+E74+E75+E77+E78+E79+E81</f>
        <v>0</v>
      </c>
      <c r="G224" s="143"/>
    </row>
    <row r="225" spans="1:26">
      <c r="A225" s="1126" t="s">
        <v>55</v>
      </c>
      <c r="B225" s="1127" t="s">
        <v>324</v>
      </c>
      <c r="C225" s="1293">
        <f>+C227</f>
        <v>638506</v>
      </c>
      <c r="D225" s="1096">
        <f>+D227</f>
        <v>110911</v>
      </c>
      <c r="E225" s="1294">
        <f>+E227</f>
        <v>26671</v>
      </c>
      <c r="G225" s="143"/>
    </row>
    <row r="226" spans="1:26" s="140" customFormat="1">
      <c r="A226" s="127" t="s">
        <v>56</v>
      </c>
      <c r="B226" s="128" t="s">
        <v>287</v>
      </c>
      <c r="C226" s="1292">
        <f>+C185</f>
        <v>0</v>
      </c>
      <c r="D226" s="771">
        <f>+D185</f>
        <v>0</v>
      </c>
      <c r="E226" s="909">
        <f>+E185</f>
        <v>0</v>
      </c>
      <c r="G226" s="143"/>
    </row>
    <row r="227" spans="1:26" s="140" customFormat="1" ht="12.75" thickBot="1">
      <c r="A227" s="1130" t="s">
        <v>57</v>
      </c>
      <c r="B227" s="1156" t="s">
        <v>288</v>
      </c>
      <c r="C227" s="1272">
        <f>+C180+C181+C182+C183+C184+C186+C187</f>
        <v>638506</v>
      </c>
      <c r="D227" s="1135">
        <f>+D180+D181+D182+D183+D184+D186+D187</f>
        <v>110911</v>
      </c>
      <c r="E227" s="1296">
        <f>+E180+E181+E182+E183+E184+E186+E187</f>
        <v>26671</v>
      </c>
      <c r="G227" s="143"/>
    </row>
    <row r="228" spans="1:26" s="143" customFormat="1" ht="12.75" thickBot="1">
      <c r="A228" s="1113" t="s">
        <v>6</v>
      </c>
      <c r="B228" s="1121" t="s">
        <v>325</v>
      </c>
      <c r="C228" s="1288">
        <f>+C229-C232</f>
        <v>231380</v>
      </c>
      <c r="D228" s="133">
        <f>+D229-D232</f>
        <v>0</v>
      </c>
      <c r="E228" s="1289">
        <f>+E229-E232</f>
        <v>9999</v>
      </c>
    </row>
    <row r="229" spans="1:26">
      <c r="A229" s="1122" t="s">
        <v>58</v>
      </c>
      <c r="B229" s="135" t="s">
        <v>326</v>
      </c>
      <c r="C229" s="1290">
        <f>+C230+C231</f>
        <v>241350</v>
      </c>
      <c r="D229" s="139">
        <f>+D230+D231</f>
        <v>0</v>
      </c>
      <c r="E229" s="1291">
        <f>+E230+E231</f>
        <v>9999</v>
      </c>
      <c r="G229" s="143"/>
    </row>
    <row r="230" spans="1:26" s="140" customFormat="1">
      <c r="A230" s="127" t="s">
        <v>293</v>
      </c>
      <c r="B230" s="128" t="s">
        <v>291</v>
      </c>
      <c r="C230" s="1292">
        <f>+C91+C95</f>
        <v>241350</v>
      </c>
      <c r="D230" s="771">
        <f>+D91+D95</f>
        <v>0</v>
      </c>
      <c r="E230" s="909">
        <f>+E91+E95</f>
        <v>0</v>
      </c>
      <c r="G230" s="143"/>
    </row>
    <row r="231" spans="1:26" s="140" customFormat="1">
      <c r="A231" s="127" t="s">
        <v>294</v>
      </c>
      <c r="B231" s="128" t="s">
        <v>292</v>
      </c>
      <c r="C231" s="1292">
        <f>+C89+C90+C92+C93+C94+C96</f>
        <v>0</v>
      </c>
      <c r="D231" s="771">
        <f>+D89+D90+D92+D93+D94+D96</f>
        <v>0</v>
      </c>
      <c r="E231" s="909">
        <f>+E89+E90+E92+E93+E94+E96</f>
        <v>9999</v>
      </c>
      <c r="G231" s="143"/>
    </row>
    <row r="232" spans="1:26">
      <c r="A232" s="1126" t="s">
        <v>59</v>
      </c>
      <c r="B232" s="1127" t="s">
        <v>327</v>
      </c>
      <c r="C232" s="1293">
        <f>+C233+C234</f>
        <v>9970</v>
      </c>
      <c r="D232" s="1096">
        <f>+D233+D234</f>
        <v>0</v>
      </c>
      <c r="E232" s="1294">
        <f>+E233+E234</f>
        <v>0</v>
      </c>
      <c r="G232" s="143"/>
    </row>
    <row r="233" spans="1:26" s="140" customFormat="1">
      <c r="A233" s="127" t="s">
        <v>295</v>
      </c>
      <c r="B233" s="128" t="s">
        <v>289</v>
      </c>
      <c r="C233" s="1292">
        <f>+C200</f>
        <v>0</v>
      </c>
      <c r="D233" s="771">
        <f>+D200</f>
        <v>0</v>
      </c>
      <c r="E233" s="909">
        <f>+E200</f>
        <v>0</v>
      </c>
      <c r="G233" s="143"/>
    </row>
    <row r="234" spans="1:26" s="140" customFormat="1" ht="12.75" thickBot="1">
      <c r="A234" s="1170" t="s">
        <v>296</v>
      </c>
      <c r="B234" s="1171" t="s">
        <v>290</v>
      </c>
      <c r="C234" s="1309">
        <f>+C195+C196+C197+C198+C199+C201+C202</f>
        <v>9970</v>
      </c>
      <c r="D234" s="1175">
        <f>+D195+D196+D197+D198+D199+D201+D202</f>
        <v>0</v>
      </c>
      <c r="E234" s="1310">
        <f>+E195+E196+E197+E198+E199+E201+E202</f>
        <v>0</v>
      </c>
      <c r="G234" s="143"/>
    </row>
    <row r="235" spans="1:26">
      <c r="G235" s="143"/>
    </row>
    <row r="236" spans="1:26">
      <c r="G236" s="143"/>
    </row>
    <row r="237" spans="1:26" s="1" customFormat="1" ht="15.75">
      <c r="A237" s="1434" t="s">
        <v>1318</v>
      </c>
      <c r="B237" s="1434"/>
      <c r="C237" s="1434"/>
      <c r="D237" s="1434"/>
      <c r="E237" s="1434"/>
      <c r="F237" s="2"/>
      <c r="G237" s="14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s="1104" customFormat="1" ht="12.75" thickBot="1">
      <c r="A238" s="1103" t="s">
        <v>284</v>
      </c>
      <c r="E238" s="1105"/>
      <c r="G238" s="143"/>
    </row>
    <row r="239" spans="1:26" s="143" customFormat="1">
      <c r="A239" s="1176" t="s">
        <v>4</v>
      </c>
      <c r="B239" s="1177" t="s">
        <v>91</v>
      </c>
      <c r="C239" s="1275">
        <v>201</v>
      </c>
      <c r="D239" s="1181"/>
      <c r="E239" s="1311">
        <f>+'1.mell._Össz_Mérleg2019'!C239</f>
        <v>193</v>
      </c>
    </row>
    <row r="240" spans="1:26" s="140" customFormat="1">
      <c r="A240" s="1130" t="s">
        <v>351</v>
      </c>
      <c r="B240" s="1182" t="s">
        <v>352</v>
      </c>
      <c r="C240" s="1276"/>
      <c r="D240" s="1186"/>
      <c r="E240" s="1312">
        <f>+'1.mell._Össz_Mérleg2019'!C240</f>
        <v>0</v>
      </c>
      <c r="G240" s="143"/>
    </row>
    <row r="241" spans="1:7" s="143" customFormat="1" ht="12.75" thickBot="1">
      <c r="A241" s="1187" t="s">
        <v>5</v>
      </c>
      <c r="B241" s="1188" t="s">
        <v>92</v>
      </c>
      <c r="C241" s="1277">
        <v>218</v>
      </c>
      <c r="D241" s="1192"/>
      <c r="E241" s="1313">
        <f>+'1.mell._Össz_Mérleg2019'!C241</f>
        <v>121</v>
      </c>
    </row>
    <row r="242" spans="1:7" s="143" customFormat="1" ht="12.75" thickBot="1">
      <c r="A242" s="1113" t="s">
        <v>6</v>
      </c>
      <c r="B242" s="1136" t="s">
        <v>330</v>
      </c>
      <c r="C242" s="1278">
        <v>419</v>
      </c>
      <c r="D242" s="1196">
        <f>+D239+D241</f>
        <v>0</v>
      </c>
      <c r="E242" s="1314">
        <f>+E239+E241</f>
        <v>314</v>
      </c>
    </row>
    <row r="243" spans="1:7">
      <c r="G243" s="143"/>
    </row>
    <row r="244" spans="1:7" hidden="1">
      <c r="C244" s="141">
        <f>+C214+C221</f>
        <v>337324</v>
      </c>
      <c r="D244" s="141">
        <f>+D214+D221</f>
        <v>2461072</v>
      </c>
      <c r="E244" s="141">
        <f>+E214+E221</f>
        <v>86726</v>
      </c>
      <c r="G244" s="143"/>
    </row>
    <row r="245" spans="1:7" hidden="1">
      <c r="C245" s="141">
        <f>+C215+C228</f>
        <v>1857788</v>
      </c>
      <c r="D245" s="141">
        <f>+D215+D228</f>
        <v>639486</v>
      </c>
      <c r="E245" s="141">
        <f>+E215+E228</f>
        <v>-86726</v>
      </c>
      <c r="G245" s="143"/>
    </row>
    <row r="246" spans="1:7">
      <c r="G246" s="143"/>
    </row>
    <row r="247" spans="1:7">
      <c r="G247" s="143"/>
    </row>
    <row r="248" spans="1:7">
      <c r="G248" s="143"/>
    </row>
    <row r="249" spans="1:7">
      <c r="G249" s="143"/>
    </row>
    <row r="250" spans="1:7">
      <c r="G250" s="143"/>
    </row>
    <row r="251" spans="1:7">
      <c r="G251" s="143"/>
    </row>
    <row r="252" spans="1:7">
      <c r="G252" s="143"/>
    </row>
    <row r="253" spans="1:7">
      <c r="G253" s="143"/>
    </row>
    <row r="254" spans="1:7">
      <c r="G254" s="143"/>
    </row>
    <row r="255" spans="1:7">
      <c r="G255" s="143"/>
    </row>
    <row r="256" spans="1:7">
      <c r="G256" s="143"/>
    </row>
    <row r="257" spans="7:7">
      <c r="G257" s="143"/>
    </row>
    <row r="258" spans="7:7">
      <c r="G258" s="143"/>
    </row>
    <row r="259" spans="7:7">
      <c r="G259" s="143"/>
    </row>
    <row r="260" spans="7:7">
      <c r="G260" s="143"/>
    </row>
    <row r="261" spans="7:7">
      <c r="G261" s="143"/>
    </row>
    <row r="262" spans="7:7">
      <c r="G262" s="143"/>
    </row>
    <row r="263" spans="7:7">
      <c r="G263" s="143"/>
    </row>
    <row r="264" spans="7:7">
      <c r="G264" s="143"/>
    </row>
  </sheetData>
  <mergeCells count="8">
    <mergeCell ref="A211:E211"/>
    <mergeCell ref="A218:E218"/>
    <mergeCell ref="A237:E237"/>
    <mergeCell ref="A5:E5"/>
    <mergeCell ref="A3:E3"/>
    <mergeCell ref="A4:E4"/>
    <mergeCell ref="A6:E6"/>
    <mergeCell ref="A105:E10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7" orientation="portrait" r:id="rId1"/>
  <headerFooter>
    <oddHeader>&amp;C 9. melléklet - &amp;P. oldal</oddHeader>
  </headerFooter>
  <rowBreaks count="1" manualBreakCount="1">
    <brk id="104" max="5" man="1"/>
  </rowBreaks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3">
    <tabColor rgb="FF00B0F0"/>
  </sheetPr>
  <dimension ref="A1:G136"/>
  <sheetViews>
    <sheetView zoomScaleNormal="100" workbookViewId="0"/>
  </sheetViews>
  <sheetFormatPr defaultColWidth="71.140625" defaultRowHeight="12"/>
  <cols>
    <col min="1" max="1" width="6.28515625" style="653" customWidth="1"/>
    <col min="2" max="2" width="3.85546875" style="900" hidden="1" customWidth="1"/>
    <col min="3" max="3" width="87.85546875" style="454" customWidth="1"/>
    <col min="4" max="4" width="13.28515625" style="454" customWidth="1"/>
    <col min="5" max="5" width="9" style="454" customWidth="1"/>
    <col min="6" max="7" width="9" style="454" hidden="1" customWidth="1"/>
    <col min="8" max="8" width="9" style="454" customWidth="1"/>
    <col min="9" max="20" width="11.42578125" style="454" customWidth="1"/>
    <col min="21" max="16384" width="71.140625" style="454"/>
  </cols>
  <sheetData>
    <row r="1" spans="1:4" s="650" customFormat="1" ht="15.75">
      <c r="A1" s="648"/>
      <c r="B1" s="893"/>
      <c r="C1" s="649"/>
      <c r="D1" s="179" t="s">
        <v>480</v>
      </c>
    </row>
    <row r="2" spans="1:4" s="650" customFormat="1" ht="15.75">
      <c r="A2" s="648"/>
      <c r="B2" s="893"/>
      <c r="C2" s="649"/>
      <c r="D2" s="439"/>
    </row>
    <row r="3" spans="1:4" s="650" customFormat="1" ht="15.75">
      <c r="A3" s="1500" t="s">
        <v>1334</v>
      </c>
      <c r="B3" s="1500"/>
      <c r="C3" s="1500"/>
      <c r="D3" s="1500"/>
    </row>
    <row r="4" spans="1:4">
      <c r="A4" s="651"/>
      <c r="B4" s="894"/>
      <c r="C4" s="431"/>
      <c r="D4" s="431"/>
    </row>
    <row r="5" spans="1:4" ht="12.75" thickBot="1">
      <c r="A5" s="651"/>
      <c r="B5" s="894"/>
      <c r="C5" s="432"/>
      <c r="D5" s="372" t="s">
        <v>561</v>
      </c>
    </row>
    <row r="6" spans="1:4" ht="24.75" thickBot="1">
      <c r="A6" s="428" t="s">
        <v>17</v>
      </c>
      <c r="B6" s="892" t="s">
        <v>1057</v>
      </c>
      <c r="C6" s="427" t="s">
        <v>543</v>
      </c>
      <c r="D6" s="513" t="s">
        <v>1317</v>
      </c>
    </row>
    <row r="7" spans="1:4" ht="12.75" thickBot="1">
      <c r="A7" s="433" t="s">
        <v>544</v>
      </c>
      <c r="B7" s="886"/>
      <c r="C7" s="434">
        <v>2</v>
      </c>
      <c r="D7" s="435">
        <v>3</v>
      </c>
    </row>
    <row r="8" spans="1:4" ht="12.75" thickBot="1">
      <c r="A8" s="1501" t="s">
        <v>594</v>
      </c>
      <c r="B8" s="1502"/>
      <c r="C8" s="1502"/>
      <c r="D8" s="1503"/>
    </row>
    <row r="9" spans="1:4">
      <c r="A9" s="451" t="s">
        <v>4</v>
      </c>
      <c r="B9" s="891"/>
      <c r="C9" s="452" t="s">
        <v>562</v>
      </c>
      <c r="D9" s="453">
        <f>+D10+D11+D17+D18+D19</f>
        <v>219938143</v>
      </c>
    </row>
    <row r="10" spans="1:4">
      <c r="A10" s="366" t="s">
        <v>563</v>
      </c>
      <c r="B10" s="885">
        <v>12</v>
      </c>
      <c r="C10" s="443" t="s">
        <v>1129</v>
      </c>
      <c r="D10" s="425">
        <f>ROUND(31.87*4580000,0)</f>
        <v>145964600</v>
      </c>
    </row>
    <row r="11" spans="1:4">
      <c r="A11" s="366" t="s">
        <v>564</v>
      </c>
      <c r="B11" s="885"/>
      <c r="C11" s="443" t="s">
        <v>1130</v>
      </c>
      <c r="D11" s="425">
        <f>+D12+D13+D14+D15</f>
        <v>58487570</v>
      </c>
    </row>
    <row r="12" spans="1:4" s="652" customFormat="1">
      <c r="A12" s="436" t="s">
        <v>565</v>
      </c>
      <c r="B12" s="895">
        <v>4</v>
      </c>
      <c r="C12" s="442" t="s">
        <v>545</v>
      </c>
      <c r="D12" s="424">
        <v>13509340</v>
      </c>
    </row>
    <row r="13" spans="1:4" s="652" customFormat="1">
      <c r="A13" s="436" t="s">
        <v>566</v>
      </c>
      <c r="B13" s="895">
        <v>3</v>
      </c>
      <c r="C13" s="442" t="s">
        <v>546</v>
      </c>
      <c r="D13" s="424">
        <v>26600000</v>
      </c>
    </row>
    <row r="14" spans="1:4" s="652" customFormat="1">
      <c r="A14" s="436" t="s">
        <v>567</v>
      </c>
      <c r="B14" s="895">
        <v>2</v>
      </c>
      <c r="C14" s="442" t="s">
        <v>547</v>
      </c>
      <c r="D14" s="424">
        <v>3460080</v>
      </c>
    </row>
    <row r="15" spans="1:4" s="652" customFormat="1">
      <c r="A15" s="436" t="s">
        <v>568</v>
      </c>
      <c r="B15" s="895">
        <v>5</v>
      </c>
      <c r="C15" s="442" t="s">
        <v>548</v>
      </c>
      <c r="D15" s="424">
        <v>14918150</v>
      </c>
    </row>
    <row r="16" spans="1:4" s="652" customFormat="1">
      <c r="A16" s="436" t="s">
        <v>569</v>
      </c>
      <c r="B16" s="895"/>
      <c r="C16" s="912" t="s">
        <v>570</v>
      </c>
      <c r="D16" s="425">
        <v>29008800</v>
      </c>
    </row>
    <row r="17" spans="1:7" s="652" customFormat="1">
      <c r="A17" s="436"/>
      <c r="B17" s="895">
        <v>8</v>
      </c>
      <c r="C17" s="913" t="s">
        <v>1004</v>
      </c>
      <c r="D17" s="914">
        <f>+D16+D83</f>
        <v>14402323</v>
      </c>
    </row>
    <row r="18" spans="1:7">
      <c r="A18" s="366" t="s">
        <v>571</v>
      </c>
      <c r="B18" s="885">
        <v>8</v>
      </c>
      <c r="C18" s="443" t="s">
        <v>26</v>
      </c>
      <c r="D18" s="425">
        <v>966450</v>
      </c>
    </row>
    <row r="19" spans="1:7">
      <c r="A19" s="366" t="s">
        <v>574</v>
      </c>
      <c r="B19" s="885">
        <v>8</v>
      </c>
      <c r="C19" s="443" t="s">
        <v>27</v>
      </c>
      <c r="D19" s="425">
        <v>117200</v>
      </c>
    </row>
    <row r="20" spans="1:7">
      <c r="A20" s="366" t="s">
        <v>5</v>
      </c>
      <c r="B20" s="885">
        <v>8</v>
      </c>
      <c r="C20" s="426" t="s">
        <v>572</v>
      </c>
      <c r="D20" s="425"/>
    </row>
    <row r="21" spans="1:7">
      <c r="A21" s="366" t="s">
        <v>6</v>
      </c>
      <c r="B21" s="885">
        <v>8</v>
      </c>
      <c r="C21" s="426" t="s">
        <v>995</v>
      </c>
      <c r="D21" s="425"/>
    </row>
    <row r="22" spans="1:7">
      <c r="A22" s="366" t="s">
        <v>3</v>
      </c>
      <c r="B22" s="885">
        <v>8</v>
      </c>
      <c r="C22" s="426" t="s">
        <v>994</v>
      </c>
      <c r="D22" s="425"/>
    </row>
    <row r="23" spans="1:7">
      <c r="A23" s="366" t="s">
        <v>16</v>
      </c>
      <c r="B23" s="901">
        <v>8</v>
      </c>
      <c r="C23" s="426" t="s">
        <v>1375</v>
      </c>
      <c r="D23" s="425"/>
    </row>
    <row r="24" spans="1:7" ht="12.75" thickBot="1">
      <c r="A24" s="366" t="s">
        <v>15</v>
      </c>
      <c r="B24" s="885">
        <v>1</v>
      </c>
      <c r="C24" s="426" t="s">
        <v>1201</v>
      </c>
      <c r="D24" s="425">
        <v>1961400</v>
      </c>
    </row>
    <row r="25" spans="1:7" ht="12.75" thickBot="1">
      <c r="A25" s="440" t="s">
        <v>23</v>
      </c>
      <c r="B25" s="896"/>
      <c r="C25" s="423" t="s">
        <v>1200</v>
      </c>
      <c r="D25" s="422">
        <f>+D9+D20+D21+D22+D23+D24</f>
        <v>221899543</v>
      </c>
      <c r="F25" s="657">
        <f>+'1.mell._Össz_Mérleg2019'!C13</f>
        <v>221900</v>
      </c>
      <c r="G25" s="657">
        <f>+ROUND(D25/1000,0)-F25</f>
        <v>0</v>
      </c>
    </row>
    <row r="26" spans="1:7">
      <c r="A26" s="437" t="s">
        <v>4</v>
      </c>
      <c r="B26" s="883"/>
      <c r="C26" s="421" t="s">
        <v>1376</v>
      </c>
      <c r="D26" s="420">
        <f>94132967+30870000+2914333+46775050+15435000+1457167</f>
        <v>191584517</v>
      </c>
    </row>
    <row r="27" spans="1:7">
      <c r="A27" s="369" t="s">
        <v>5</v>
      </c>
      <c r="B27" s="883"/>
      <c r="C27" s="419" t="s">
        <v>549</v>
      </c>
      <c r="D27" s="417">
        <f>23700667+11850333</f>
        <v>35551000</v>
      </c>
    </row>
    <row r="28" spans="1:7">
      <c r="A28" s="369" t="s">
        <v>6</v>
      </c>
      <c r="B28" s="883"/>
      <c r="C28" s="419" t="s">
        <v>550</v>
      </c>
      <c r="D28" s="417"/>
    </row>
    <row r="29" spans="1:7" ht="24">
      <c r="A29" s="369" t="s">
        <v>3</v>
      </c>
      <c r="B29" s="883"/>
      <c r="C29" s="419" t="s">
        <v>1202</v>
      </c>
      <c r="D29" s="417">
        <f>3570300+1447300</f>
        <v>5017600</v>
      </c>
    </row>
    <row r="30" spans="1:7" ht="12.75" thickBot="1">
      <c r="A30" s="369" t="s">
        <v>16</v>
      </c>
      <c r="B30" s="883"/>
      <c r="C30" s="419" t="s">
        <v>1378</v>
      </c>
      <c r="D30" s="417"/>
    </row>
    <row r="31" spans="1:7" ht="12.75" thickBot="1">
      <c r="A31" s="440" t="s">
        <v>22</v>
      </c>
      <c r="B31" s="896">
        <v>19</v>
      </c>
      <c r="C31" s="423" t="s">
        <v>1377</v>
      </c>
      <c r="D31" s="422">
        <f>+D26+D27+D28+D29+D30</f>
        <v>232153117</v>
      </c>
      <c r="F31" s="657">
        <f>+'1.mell._Össz_Mérleg2019'!C14</f>
        <v>232153</v>
      </c>
      <c r="G31" s="657">
        <f>+ROUND(D31/1000,0)-F31</f>
        <v>0</v>
      </c>
    </row>
    <row r="32" spans="1:7">
      <c r="A32" s="437" t="s">
        <v>4</v>
      </c>
      <c r="B32" s="883">
        <v>31</v>
      </c>
      <c r="C32" s="421" t="s">
        <v>1379</v>
      </c>
      <c r="D32" s="850"/>
    </row>
    <row r="33" spans="1:4">
      <c r="A33" s="369" t="s">
        <v>5</v>
      </c>
      <c r="B33" s="884">
        <v>6</v>
      </c>
      <c r="C33" s="419" t="s">
        <v>996</v>
      </c>
      <c r="D33" s="417">
        <v>111268497</v>
      </c>
    </row>
    <row r="34" spans="1:4">
      <c r="A34" s="369" t="s">
        <v>6</v>
      </c>
      <c r="B34" s="884"/>
      <c r="C34" s="419" t="s">
        <v>551</v>
      </c>
      <c r="D34" s="417">
        <f>+D35+D36+D37+D38+D41+D42+D43+D44+D45+D46+D47+D48+D49+D50+D51</f>
        <v>73861279</v>
      </c>
    </row>
    <row r="35" spans="1:4">
      <c r="A35" s="369" t="s">
        <v>573</v>
      </c>
      <c r="B35" s="884">
        <v>32</v>
      </c>
      <c r="C35" s="444" t="s">
        <v>997</v>
      </c>
      <c r="D35" s="417">
        <v>25500000</v>
      </c>
    </row>
    <row r="36" spans="1:4">
      <c r="A36" s="369" t="s">
        <v>564</v>
      </c>
      <c r="B36" s="884">
        <v>32</v>
      </c>
      <c r="C36" s="444" t="s">
        <v>998</v>
      </c>
      <c r="D36" s="417">
        <v>29040000</v>
      </c>
    </row>
    <row r="37" spans="1:4">
      <c r="A37" s="369" t="s">
        <v>569</v>
      </c>
      <c r="B37" s="884"/>
      <c r="C37" s="444" t="s">
        <v>552</v>
      </c>
      <c r="D37" s="417"/>
    </row>
    <row r="38" spans="1:4">
      <c r="A38" s="369" t="s">
        <v>571</v>
      </c>
      <c r="B38" s="884"/>
      <c r="C38" s="444" t="s">
        <v>553</v>
      </c>
      <c r="D38" s="417">
        <f>+D39+D40</f>
        <v>0</v>
      </c>
    </row>
    <row r="39" spans="1:4" s="652" customFormat="1">
      <c r="A39" s="438" t="s">
        <v>1131</v>
      </c>
      <c r="B39" s="897"/>
      <c r="C39" s="445" t="s">
        <v>1133</v>
      </c>
      <c r="D39" s="418"/>
    </row>
    <row r="40" spans="1:4" s="652" customFormat="1">
      <c r="A40" s="438" t="s">
        <v>1132</v>
      </c>
      <c r="B40" s="897"/>
      <c r="C40" s="445" t="s">
        <v>1134</v>
      </c>
      <c r="D40" s="418"/>
    </row>
    <row r="41" spans="1:4">
      <c r="A41" s="369" t="s">
        <v>574</v>
      </c>
      <c r="B41" s="884"/>
      <c r="C41" s="444" t="s">
        <v>554</v>
      </c>
      <c r="D41" s="417"/>
    </row>
    <row r="42" spans="1:4">
      <c r="A42" s="369" t="s">
        <v>575</v>
      </c>
      <c r="B42" s="884"/>
      <c r="C42" s="444" t="s">
        <v>555</v>
      </c>
      <c r="D42" s="417"/>
    </row>
    <row r="43" spans="1:4">
      <c r="A43" s="369" t="s">
        <v>576</v>
      </c>
      <c r="B43" s="884"/>
      <c r="C43" s="444" t="s">
        <v>556</v>
      </c>
      <c r="D43" s="417"/>
    </row>
    <row r="44" spans="1:4">
      <c r="A44" s="369" t="s">
        <v>577</v>
      </c>
      <c r="B44" s="884"/>
      <c r="C44" s="444" t="s">
        <v>578</v>
      </c>
      <c r="D44" s="417"/>
    </row>
    <row r="45" spans="1:4">
      <c r="A45" s="369" t="s">
        <v>579</v>
      </c>
      <c r="B45" s="884"/>
      <c r="C45" s="444" t="s">
        <v>557</v>
      </c>
      <c r="D45" s="417"/>
    </row>
    <row r="46" spans="1:4">
      <c r="A46" s="369" t="s">
        <v>580</v>
      </c>
      <c r="B46" s="884"/>
      <c r="C46" s="444" t="s">
        <v>1135</v>
      </c>
      <c r="D46" s="417"/>
    </row>
    <row r="47" spans="1:4">
      <c r="A47" s="369" t="s">
        <v>582</v>
      </c>
      <c r="B47" s="884"/>
      <c r="C47" s="444" t="s">
        <v>583</v>
      </c>
      <c r="D47" s="417"/>
    </row>
    <row r="48" spans="1:4">
      <c r="A48" s="369" t="s">
        <v>584</v>
      </c>
      <c r="B48" s="884"/>
      <c r="C48" s="444" t="s">
        <v>1136</v>
      </c>
      <c r="D48" s="417"/>
    </row>
    <row r="49" spans="1:4">
      <c r="A49" s="369" t="s">
        <v>1137</v>
      </c>
      <c r="B49" s="884"/>
      <c r="C49" s="444" t="s">
        <v>1138</v>
      </c>
      <c r="D49" s="417"/>
    </row>
    <row r="50" spans="1:4">
      <c r="A50" s="369" t="s">
        <v>1204</v>
      </c>
      <c r="B50" s="884">
        <v>32</v>
      </c>
      <c r="C50" s="444" t="s">
        <v>1203</v>
      </c>
      <c r="D50" s="417">
        <v>19321279</v>
      </c>
    </row>
    <row r="51" spans="1:4">
      <c r="A51" s="369" t="s">
        <v>1380</v>
      </c>
      <c r="B51" s="884">
        <v>32</v>
      </c>
      <c r="C51" s="444" t="s">
        <v>1381</v>
      </c>
      <c r="D51" s="417">
        <f>+D52+D53</f>
        <v>0</v>
      </c>
    </row>
    <row r="52" spans="1:4" s="652" customFormat="1">
      <c r="A52" s="438" t="s">
        <v>1382</v>
      </c>
      <c r="B52" s="897"/>
      <c r="C52" s="445" t="s">
        <v>1384</v>
      </c>
      <c r="D52" s="418"/>
    </row>
    <row r="53" spans="1:4" s="652" customFormat="1">
      <c r="A53" s="438" t="s">
        <v>1383</v>
      </c>
      <c r="B53" s="897"/>
      <c r="C53" s="445" t="s">
        <v>1385</v>
      </c>
      <c r="D53" s="418"/>
    </row>
    <row r="54" spans="1:4" ht="24">
      <c r="A54" s="369" t="s">
        <v>3</v>
      </c>
      <c r="B54" s="884"/>
      <c r="C54" s="419" t="s">
        <v>999</v>
      </c>
      <c r="D54" s="417">
        <f>+D55+D56+D57</f>
        <v>0</v>
      </c>
    </row>
    <row r="55" spans="1:4">
      <c r="A55" s="369" t="s">
        <v>573</v>
      </c>
      <c r="B55" s="884"/>
      <c r="C55" s="444" t="s">
        <v>585</v>
      </c>
      <c r="D55" s="417"/>
    </row>
    <row r="56" spans="1:4">
      <c r="A56" s="369" t="s">
        <v>564</v>
      </c>
      <c r="B56" s="884"/>
      <c r="C56" s="444" t="s">
        <v>586</v>
      </c>
      <c r="D56" s="417"/>
    </row>
    <row r="57" spans="1:4">
      <c r="A57" s="369" t="s">
        <v>569</v>
      </c>
      <c r="B57" s="884"/>
      <c r="C57" s="444" t="s">
        <v>1386</v>
      </c>
      <c r="D57" s="417"/>
    </row>
    <row r="58" spans="1:4">
      <c r="A58" s="369" t="s">
        <v>16</v>
      </c>
      <c r="B58" s="884"/>
      <c r="C58" s="419" t="s">
        <v>1390</v>
      </c>
      <c r="D58" s="417">
        <f>+D59+D62</f>
        <v>70178687</v>
      </c>
    </row>
    <row r="59" spans="1:4">
      <c r="A59" s="369" t="s">
        <v>573</v>
      </c>
      <c r="B59" s="884">
        <v>20</v>
      </c>
      <c r="C59" s="444" t="s">
        <v>1387</v>
      </c>
      <c r="D59" s="417">
        <f>+D60+D61</f>
        <v>64073417</v>
      </c>
    </row>
    <row r="60" spans="1:4" s="652" customFormat="1">
      <c r="A60" s="438" t="s">
        <v>1388</v>
      </c>
      <c r="B60" s="897"/>
      <c r="C60" s="445" t="s">
        <v>1000</v>
      </c>
      <c r="D60" s="418">
        <v>35321000</v>
      </c>
    </row>
    <row r="61" spans="1:4" s="652" customFormat="1">
      <c r="A61" s="438" t="s">
        <v>1389</v>
      </c>
      <c r="B61" s="897"/>
      <c r="C61" s="445" t="s">
        <v>1001</v>
      </c>
      <c r="D61" s="418">
        <v>28752417</v>
      </c>
    </row>
    <row r="62" spans="1:4">
      <c r="A62" s="369" t="s">
        <v>564</v>
      </c>
      <c r="B62" s="884">
        <v>6</v>
      </c>
      <c r="C62" s="444" t="s">
        <v>1139</v>
      </c>
      <c r="D62" s="417">
        <v>6105270</v>
      </c>
    </row>
    <row r="63" spans="1:4">
      <c r="A63" s="369" t="s">
        <v>15</v>
      </c>
      <c r="B63" s="884">
        <v>21</v>
      </c>
      <c r="C63" s="419" t="s">
        <v>1205</v>
      </c>
      <c r="D63" s="417">
        <f>+D64+D65</f>
        <v>24951000</v>
      </c>
    </row>
    <row r="64" spans="1:4">
      <c r="A64" s="369" t="s">
        <v>573</v>
      </c>
      <c r="B64" s="884"/>
      <c r="C64" s="444" t="s">
        <v>585</v>
      </c>
      <c r="D64" s="417">
        <f>4419000+14965000</f>
        <v>19384000</v>
      </c>
    </row>
    <row r="65" spans="1:7" ht="12.75" thickBot="1">
      <c r="A65" s="369" t="s">
        <v>564</v>
      </c>
      <c r="B65" s="884"/>
      <c r="C65" s="444" t="s">
        <v>1206</v>
      </c>
      <c r="D65" s="417">
        <v>5567000</v>
      </c>
    </row>
    <row r="66" spans="1:7" ht="24.75" thickBot="1">
      <c r="A66" s="440" t="s">
        <v>21</v>
      </c>
      <c r="B66" s="896"/>
      <c r="C66" s="423" t="s">
        <v>1391</v>
      </c>
      <c r="D66" s="422">
        <f>+D32+D33+D34+D54+D58+D63</f>
        <v>280259463</v>
      </c>
      <c r="F66" s="657">
        <f>+'1.mell._Össz_Mérleg2019'!C15</f>
        <v>280259</v>
      </c>
      <c r="G66" s="657">
        <f>+ROUND(D66/1000,0)-F66</f>
        <v>0</v>
      </c>
    </row>
    <row r="67" spans="1:7">
      <c r="A67" s="437" t="s">
        <v>4</v>
      </c>
      <c r="B67" s="883"/>
      <c r="C67" s="421" t="s">
        <v>558</v>
      </c>
      <c r="D67" s="420">
        <f>+D68+D69+D70+D71+D72+D73+D74+D75+D76</f>
        <v>19679240</v>
      </c>
    </row>
    <row r="68" spans="1:7">
      <c r="A68" s="437" t="s">
        <v>573</v>
      </c>
      <c r="B68" s="883"/>
      <c r="C68" s="446" t="s">
        <v>1140</v>
      </c>
      <c r="D68" s="420"/>
    </row>
    <row r="69" spans="1:7">
      <c r="A69" s="437" t="s">
        <v>564</v>
      </c>
      <c r="B69" s="883"/>
      <c r="C69" s="446" t="s">
        <v>587</v>
      </c>
      <c r="D69" s="420"/>
    </row>
    <row r="70" spans="1:7">
      <c r="A70" s="437" t="s">
        <v>569</v>
      </c>
      <c r="B70" s="883"/>
      <c r="C70" s="446" t="s">
        <v>1141</v>
      </c>
      <c r="D70" s="420"/>
    </row>
    <row r="71" spans="1:7">
      <c r="A71" s="437" t="s">
        <v>571</v>
      </c>
      <c r="B71" s="915">
        <v>25</v>
      </c>
      <c r="C71" s="446" t="s">
        <v>1142</v>
      </c>
      <c r="D71" s="420">
        <v>13000240</v>
      </c>
    </row>
    <row r="72" spans="1:7">
      <c r="A72" s="437" t="s">
        <v>574</v>
      </c>
      <c r="B72" s="883">
        <v>26</v>
      </c>
      <c r="C72" s="446" t="s">
        <v>24</v>
      </c>
      <c r="D72" s="420">
        <v>6679000</v>
      </c>
    </row>
    <row r="73" spans="1:7">
      <c r="A73" s="437" t="s">
        <v>575</v>
      </c>
      <c r="B73" s="883"/>
      <c r="C73" s="446" t="s">
        <v>1143</v>
      </c>
      <c r="D73" s="420"/>
    </row>
    <row r="74" spans="1:7">
      <c r="A74" s="437" t="s">
        <v>576</v>
      </c>
      <c r="B74" s="883"/>
      <c r="C74" s="446" t="s">
        <v>1144</v>
      </c>
      <c r="D74" s="420"/>
    </row>
    <row r="75" spans="1:7">
      <c r="A75" s="437" t="s">
        <v>577</v>
      </c>
      <c r="B75" s="883"/>
      <c r="C75" s="446" t="s">
        <v>1207</v>
      </c>
      <c r="D75" s="420"/>
    </row>
    <row r="76" spans="1:7">
      <c r="A76" s="437" t="s">
        <v>579</v>
      </c>
      <c r="B76" s="883"/>
      <c r="C76" s="446" t="s">
        <v>1002</v>
      </c>
      <c r="D76" s="420"/>
    </row>
    <row r="77" spans="1:7">
      <c r="A77" s="437" t="s">
        <v>5</v>
      </c>
      <c r="B77" s="883"/>
      <c r="C77" s="421" t="s">
        <v>559</v>
      </c>
      <c r="D77" s="420">
        <f>+D78+D79+D81</f>
        <v>0</v>
      </c>
    </row>
    <row r="78" spans="1:7">
      <c r="A78" s="437" t="s">
        <v>573</v>
      </c>
      <c r="B78" s="883"/>
      <c r="C78" s="446" t="s">
        <v>588</v>
      </c>
      <c r="D78" s="420"/>
    </row>
    <row r="79" spans="1:7">
      <c r="A79" s="437" t="s">
        <v>564</v>
      </c>
      <c r="B79" s="883"/>
      <c r="C79" s="446" t="s">
        <v>589</v>
      </c>
      <c r="D79" s="420"/>
    </row>
    <row r="80" spans="1:7">
      <c r="A80" s="437" t="s">
        <v>569</v>
      </c>
      <c r="B80" s="883"/>
      <c r="C80" s="446" t="s">
        <v>590</v>
      </c>
      <c r="D80" s="420"/>
    </row>
    <row r="81" spans="1:7" ht="12.75" thickBot="1">
      <c r="A81" s="437" t="s">
        <v>6</v>
      </c>
      <c r="B81" s="915">
        <v>25</v>
      </c>
      <c r="C81" s="421" t="s">
        <v>1208</v>
      </c>
      <c r="D81" s="420"/>
    </row>
    <row r="82" spans="1:7" ht="12.75" thickBot="1">
      <c r="A82" s="440" t="s">
        <v>20</v>
      </c>
      <c r="B82" s="896"/>
      <c r="C82" s="423" t="s">
        <v>1209</v>
      </c>
      <c r="D82" s="422">
        <f>+D67+D77+D81</f>
        <v>19679240</v>
      </c>
      <c r="F82" s="657">
        <f>+'1.mell._Össz_Mérleg2019'!C16</f>
        <v>19679</v>
      </c>
      <c r="G82" s="657">
        <f>+ROUND(D82/1000,0)-F82</f>
        <v>0</v>
      </c>
    </row>
    <row r="83" spans="1:7" s="652" customFormat="1" ht="12.75" thickBot="1">
      <c r="A83" s="447" t="s">
        <v>560</v>
      </c>
      <c r="B83" s="898"/>
      <c r="C83" s="448" t="s">
        <v>1003</v>
      </c>
      <c r="D83" s="449">
        <v>-14606477</v>
      </c>
    </row>
    <row r="84" spans="1:7" ht="24.75" thickBot="1">
      <c r="A84" s="450" t="s">
        <v>596</v>
      </c>
      <c r="B84" s="890"/>
      <c r="C84" s="423" t="s">
        <v>893</v>
      </c>
      <c r="D84" s="422">
        <f>+D25+D31+D66+D82</f>
        <v>753991363</v>
      </c>
      <c r="F84" s="657"/>
    </row>
    <row r="85" spans="1:7" ht="12.75" thickBot="1">
      <c r="A85" s="441"/>
      <c r="B85" s="899"/>
      <c r="C85" s="429"/>
      <c r="D85" s="430"/>
    </row>
    <row r="86" spans="1:7" ht="12.75" thickBot="1">
      <c r="A86" s="1501" t="s">
        <v>595</v>
      </c>
      <c r="B86" s="1502"/>
      <c r="C86" s="1502"/>
      <c r="D86" s="1503"/>
    </row>
    <row r="87" spans="1:7" s="772" customFormat="1">
      <c r="A87" s="369" t="s">
        <v>4</v>
      </c>
      <c r="B87" s="884"/>
      <c r="C87" s="419" t="s">
        <v>31</v>
      </c>
      <c r="D87" s="417"/>
      <c r="F87" s="454"/>
      <c r="G87" s="454"/>
    </row>
    <row r="88" spans="1:7" s="772" customFormat="1">
      <c r="A88" s="369" t="s">
        <v>5</v>
      </c>
      <c r="B88" s="884"/>
      <c r="C88" s="419" t="s">
        <v>1145</v>
      </c>
      <c r="D88" s="417"/>
      <c r="F88" s="454"/>
      <c r="G88" s="454"/>
    </row>
    <row r="89" spans="1:7" s="772" customFormat="1">
      <c r="A89" s="369" t="s">
        <v>6</v>
      </c>
      <c r="B89" s="884"/>
      <c r="C89" s="419" t="s">
        <v>1146</v>
      </c>
      <c r="D89" s="417"/>
      <c r="F89" s="454"/>
      <c r="G89" s="454"/>
    </row>
    <row r="90" spans="1:7" s="772" customFormat="1">
      <c r="A90" s="369" t="s">
        <v>3</v>
      </c>
      <c r="B90" s="884"/>
      <c r="C90" s="419" t="s">
        <v>593</v>
      </c>
      <c r="D90" s="417"/>
      <c r="F90" s="454"/>
      <c r="G90" s="454"/>
    </row>
    <row r="91" spans="1:7" s="772" customFormat="1">
      <c r="A91" s="369" t="s">
        <v>16</v>
      </c>
      <c r="B91" s="884"/>
      <c r="C91" s="419" t="s">
        <v>25</v>
      </c>
      <c r="D91" s="417"/>
      <c r="F91" s="454"/>
      <c r="G91" s="454"/>
    </row>
    <row r="92" spans="1:7" s="772" customFormat="1">
      <c r="A92" s="369" t="s">
        <v>15</v>
      </c>
      <c r="B92" s="884"/>
      <c r="C92" s="851" t="s">
        <v>1210</v>
      </c>
      <c r="D92" s="417"/>
      <c r="F92" s="454"/>
      <c r="G92" s="454"/>
    </row>
    <row r="93" spans="1:7" s="772" customFormat="1">
      <c r="A93" s="366" t="s">
        <v>14</v>
      </c>
      <c r="B93" s="885"/>
      <c r="C93" s="852" t="s">
        <v>889</v>
      </c>
      <c r="D93" s="849"/>
      <c r="F93" s="454"/>
      <c r="G93" s="454"/>
    </row>
    <row r="94" spans="1:7" s="772" customFormat="1" ht="24">
      <c r="A94" s="366" t="s">
        <v>13</v>
      </c>
      <c r="B94" s="885"/>
      <c r="C94" s="916" t="s">
        <v>1147</v>
      </c>
      <c r="D94" s="849"/>
      <c r="F94" s="454"/>
      <c r="G94" s="454"/>
    </row>
    <row r="95" spans="1:7" s="772" customFormat="1">
      <c r="A95" s="366" t="s">
        <v>12</v>
      </c>
      <c r="B95" s="885"/>
      <c r="C95" s="852" t="s">
        <v>1148</v>
      </c>
      <c r="D95" s="849"/>
      <c r="F95" s="454"/>
      <c r="G95" s="454"/>
    </row>
    <row r="96" spans="1:7" s="772" customFormat="1">
      <c r="A96" s="369" t="s">
        <v>11</v>
      </c>
      <c r="B96" s="884"/>
      <c r="C96" s="419" t="s">
        <v>1008</v>
      </c>
      <c r="D96" s="417">
        <f>248803000-113958000</f>
        <v>134845000</v>
      </c>
      <c r="F96" s="454"/>
      <c r="G96" s="454"/>
    </row>
    <row r="97" spans="1:7" s="772" customFormat="1">
      <c r="A97" s="369" t="s">
        <v>10</v>
      </c>
      <c r="B97" s="884"/>
      <c r="C97" s="419" t="s">
        <v>1009</v>
      </c>
      <c r="D97" s="417"/>
      <c r="F97" s="454"/>
      <c r="G97" s="454"/>
    </row>
    <row r="98" spans="1:7" s="772" customFormat="1" ht="12.75" thickBot="1">
      <c r="A98" s="369" t="s">
        <v>9</v>
      </c>
      <c r="B98" s="990"/>
      <c r="C98" s="419" t="s">
        <v>1392</v>
      </c>
      <c r="D98" s="417"/>
      <c r="F98" s="454"/>
      <c r="G98" s="454"/>
    </row>
    <row r="99" spans="1:7" s="773" customFormat="1" ht="12.75" thickBot="1">
      <c r="A99" s="365" t="s">
        <v>23</v>
      </c>
      <c r="B99" s="902">
        <v>8</v>
      </c>
      <c r="C99" s="423" t="s">
        <v>1393</v>
      </c>
      <c r="D99" s="422">
        <f>+D87+D88+D89+D90+D91+D92+D93+D94+D95+D96+D97+D98</f>
        <v>134845000</v>
      </c>
      <c r="F99" s="949">
        <f>+'1.mell._Össz_Mérleg2019'!C17</f>
        <v>134845</v>
      </c>
      <c r="G99" s="657">
        <f>+ROUND(D99/1000,0)-F99</f>
        <v>0</v>
      </c>
    </row>
    <row r="100" spans="1:7" s="772" customFormat="1">
      <c r="A100" s="369" t="s">
        <v>4</v>
      </c>
      <c r="B100" s="884"/>
      <c r="C100" s="419" t="s">
        <v>30</v>
      </c>
      <c r="D100" s="417"/>
      <c r="F100" s="454"/>
      <c r="G100" s="454"/>
    </row>
    <row r="101" spans="1:7" s="772" customFormat="1">
      <c r="A101" s="369" t="s">
        <v>5</v>
      </c>
      <c r="B101" s="884"/>
      <c r="C101" s="419" t="s">
        <v>28</v>
      </c>
      <c r="D101" s="417">
        <f>+D102+D103+D104</f>
        <v>0</v>
      </c>
      <c r="F101" s="454"/>
      <c r="G101" s="454"/>
    </row>
    <row r="102" spans="1:7" s="772" customFormat="1">
      <c r="A102" s="369" t="s">
        <v>573</v>
      </c>
      <c r="B102" s="884"/>
      <c r="C102" s="444" t="s">
        <v>591</v>
      </c>
      <c r="D102" s="417"/>
      <c r="F102" s="454"/>
      <c r="G102" s="454"/>
    </row>
    <row r="103" spans="1:7" s="772" customFormat="1">
      <c r="A103" s="369" t="s">
        <v>564</v>
      </c>
      <c r="B103" s="884"/>
      <c r="C103" s="444" t="s">
        <v>592</v>
      </c>
      <c r="D103" s="417"/>
      <c r="F103" s="454"/>
      <c r="G103" s="454"/>
    </row>
    <row r="104" spans="1:7" s="772" customFormat="1">
      <c r="A104" s="369" t="s">
        <v>569</v>
      </c>
      <c r="B104" s="884"/>
      <c r="C104" s="444" t="s">
        <v>1005</v>
      </c>
      <c r="D104" s="417"/>
      <c r="F104" s="454"/>
      <c r="G104" s="454"/>
    </row>
    <row r="105" spans="1:7" s="772" customFormat="1">
      <c r="A105" s="369" t="s">
        <v>6</v>
      </c>
      <c r="B105" s="884"/>
      <c r="C105" s="419" t="s">
        <v>1007</v>
      </c>
      <c r="D105" s="417"/>
      <c r="F105" s="454"/>
      <c r="G105" s="454"/>
    </row>
    <row r="106" spans="1:7" s="772" customFormat="1">
      <c r="A106" s="369" t="s">
        <v>3</v>
      </c>
      <c r="B106" s="884"/>
      <c r="C106" s="419" t="s">
        <v>890</v>
      </c>
      <c r="D106" s="417">
        <f>+D107+D108+D109</f>
        <v>0</v>
      </c>
      <c r="F106" s="454"/>
      <c r="G106" s="454"/>
    </row>
    <row r="107" spans="1:7" s="772" customFormat="1">
      <c r="A107" s="369" t="s">
        <v>573</v>
      </c>
      <c r="B107" s="884"/>
      <c r="C107" s="444" t="s">
        <v>891</v>
      </c>
      <c r="D107" s="417"/>
      <c r="F107" s="454"/>
      <c r="G107" s="454"/>
    </row>
    <row r="108" spans="1:7" s="772" customFormat="1">
      <c r="A108" s="369" t="s">
        <v>564</v>
      </c>
      <c r="B108" s="884"/>
      <c r="C108" s="444" t="s">
        <v>1006</v>
      </c>
      <c r="D108" s="417"/>
      <c r="F108" s="454"/>
      <c r="G108" s="454"/>
    </row>
    <row r="109" spans="1:7" s="772" customFormat="1">
      <c r="A109" s="369" t="s">
        <v>569</v>
      </c>
      <c r="B109" s="884"/>
      <c r="C109" s="444" t="s">
        <v>892</v>
      </c>
      <c r="D109" s="417"/>
      <c r="F109" s="454"/>
      <c r="G109" s="454"/>
    </row>
    <row r="110" spans="1:7" s="772" customFormat="1">
      <c r="A110" s="369" t="s">
        <v>16</v>
      </c>
      <c r="B110" s="884"/>
      <c r="C110" s="419" t="s">
        <v>29</v>
      </c>
      <c r="D110" s="417"/>
      <c r="F110" s="454"/>
      <c r="G110" s="454"/>
    </row>
    <row r="111" spans="1:7" s="772" customFormat="1">
      <c r="A111" s="369" t="s">
        <v>15</v>
      </c>
      <c r="B111" s="884"/>
      <c r="C111" s="875" t="s">
        <v>1394</v>
      </c>
      <c r="D111" s="417"/>
      <c r="F111" s="454"/>
      <c r="G111" s="454"/>
    </row>
    <row r="112" spans="1:7" s="772" customFormat="1">
      <c r="A112" s="437" t="s">
        <v>14</v>
      </c>
      <c r="B112" s="883"/>
      <c r="C112" s="421" t="s">
        <v>1149</v>
      </c>
      <c r="D112" s="420"/>
      <c r="F112" s="454"/>
      <c r="G112" s="454"/>
    </row>
    <row r="113" spans="1:7" s="772" customFormat="1">
      <c r="A113" s="437" t="s">
        <v>13</v>
      </c>
      <c r="B113" s="883"/>
      <c r="C113" s="421" t="s">
        <v>1212</v>
      </c>
      <c r="D113" s="420"/>
      <c r="F113" s="454"/>
      <c r="G113" s="454"/>
    </row>
    <row r="114" spans="1:7" s="772" customFormat="1">
      <c r="A114" s="437" t="s">
        <v>12</v>
      </c>
      <c r="B114" s="883"/>
      <c r="C114" s="421" t="s">
        <v>1150</v>
      </c>
      <c r="D114" s="420"/>
      <c r="F114" s="454"/>
      <c r="G114" s="454"/>
    </row>
    <row r="115" spans="1:7" s="772" customFormat="1">
      <c r="A115" s="437" t="s">
        <v>11</v>
      </c>
      <c r="B115" s="883"/>
      <c r="C115" s="421" t="s">
        <v>1151</v>
      </c>
      <c r="D115" s="420"/>
      <c r="F115" s="454"/>
      <c r="G115" s="454"/>
    </row>
    <row r="116" spans="1:7" s="772" customFormat="1">
      <c r="A116" s="437" t="s">
        <v>10</v>
      </c>
      <c r="B116" s="883"/>
      <c r="C116" s="421" t="s">
        <v>1213</v>
      </c>
      <c r="D116" s="420"/>
      <c r="F116" s="454"/>
      <c r="G116" s="454"/>
    </row>
    <row r="117" spans="1:7" s="772" customFormat="1">
      <c r="A117" s="437" t="s">
        <v>9</v>
      </c>
      <c r="B117" s="883"/>
      <c r="C117" s="421" t="s">
        <v>1395</v>
      </c>
      <c r="D117" s="420"/>
      <c r="F117" s="454"/>
      <c r="G117" s="454"/>
    </row>
    <row r="118" spans="1:7" s="772" customFormat="1">
      <c r="A118" s="437" t="s">
        <v>45</v>
      </c>
      <c r="B118" s="883"/>
      <c r="C118" s="421" t="s">
        <v>1396</v>
      </c>
      <c r="D118" s="420"/>
      <c r="F118" s="454"/>
      <c r="G118" s="454"/>
    </row>
    <row r="119" spans="1:7" s="772" customFormat="1">
      <c r="A119" s="437" t="s">
        <v>44</v>
      </c>
      <c r="B119" s="883"/>
      <c r="C119" s="421" t="s">
        <v>1397</v>
      </c>
      <c r="D119" s="420"/>
      <c r="F119" s="454"/>
      <c r="G119" s="454"/>
    </row>
    <row r="120" spans="1:7" s="772" customFormat="1">
      <c r="A120" s="437" t="s">
        <v>43</v>
      </c>
      <c r="B120" s="883"/>
      <c r="C120" s="421" t="s">
        <v>1398</v>
      </c>
      <c r="D120" s="420"/>
      <c r="F120" s="454"/>
      <c r="G120" s="454"/>
    </row>
    <row r="121" spans="1:7" s="772" customFormat="1">
      <c r="A121" s="437" t="s">
        <v>40</v>
      </c>
      <c r="B121" s="883"/>
      <c r="C121" s="421" t="s">
        <v>1399</v>
      </c>
      <c r="D121" s="420"/>
      <c r="F121" s="454"/>
      <c r="G121" s="454"/>
    </row>
    <row r="122" spans="1:7" s="772" customFormat="1">
      <c r="A122" s="437" t="s">
        <v>39</v>
      </c>
      <c r="B122" s="883"/>
      <c r="C122" s="421" t="s">
        <v>1400</v>
      </c>
      <c r="D122" s="420"/>
      <c r="F122" s="454"/>
      <c r="G122" s="454"/>
    </row>
    <row r="123" spans="1:7" s="772" customFormat="1">
      <c r="A123" s="437" t="s">
        <v>38</v>
      </c>
      <c r="B123" s="883"/>
      <c r="C123" s="421" t="s">
        <v>1401</v>
      </c>
      <c r="D123" s="420"/>
      <c r="F123" s="454"/>
      <c r="G123" s="454"/>
    </row>
    <row r="124" spans="1:7" s="772" customFormat="1">
      <c r="A124" s="437" t="s">
        <v>36</v>
      </c>
      <c r="B124" s="883"/>
      <c r="C124" s="421" t="s">
        <v>1402</v>
      </c>
      <c r="D124" s="420"/>
      <c r="F124" s="454"/>
      <c r="G124" s="454"/>
    </row>
    <row r="125" spans="1:7" s="772" customFormat="1">
      <c r="A125" s="437" t="s">
        <v>35</v>
      </c>
      <c r="B125" s="883"/>
      <c r="C125" s="421" t="s">
        <v>1403</v>
      </c>
      <c r="D125" s="420"/>
      <c r="F125" s="454"/>
      <c r="G125" s="454"/>
    </row>
    <row r="126" spans="1:7" s="772" customFormat="1">
      <c r="A126" s="437" t="s">
        <v>34</v>
      </c>
      <c r="B126" s="883"/>
      <c r="C126" s="421" t="s">
        <v>1404</v>
      </c>
      <c r="D126" s="420"/>
      <c r="F126" s="454"/>
      <c r="G126" s="454"/>
    </row>
    <row r="127" spans="1:7" s="772" customFormat="1">
      <c r="A127" s="437" t="s">
        <v>33</v>
      </c>
      <c r="B127" s="883"/>
      <c r="C127" s="421" t="s">
        <v>1405</v>
      </c>
      <c r="D127" s="420"/>
      <c r="F127" s="454"/>
      <c r="G127" s="454"/>
    </row>
    <row r="128" spans="1:7" s="772" customFormat="1">
      <c r="A128" s="437" t="s">
        <v>32</v>
      </c>
      <c r="B128" s="883"/>
      <c r="C128" s="421" t="s">
        <v>1406</v>
      </c>
      <c r="D128" s="420"/>
      <c r="F128" s="454"/>
      <c r="G128" s="454"/>
    </row>
    <row r="129" spans="1:7" s="772" customFormat="1">
      <c r="A129" s="437" t="s">
        <v>472</v>
      </c>
      <c r="B129" s="883"/>
      <c r="C129" s="421" t="s">
        <v>1407</v>
      </c>
      <c r="D129" s="420"/>
      <c r="F129" s="454"/>
      <c r="G129" s="454"/>
    </row>
    <row r="130" spans="1:7" s="772" customFormat="1" ht="12.75" thickBot="1">
      <c r="A130" s="437" t="s">
        <v>473</v>
      </c>
      <c r="B130" s="883"/>
      <c r="C130" s="421" t="s">
        <v>1408</v>
      </c>
      <c r="D130" s="420"/>
      <c r="F130" s="454"/>
      <c r="G130" s="454"/>
    </row>
    <row r="131" spans="1:7" s="773" customFormat="1" ht="12.75" thickBot="1">
      <c r="A131" s="365" t="s">
        <v>22</v>
      </c>
      <c r="B131" s="902">
        <v>8</v>
      </c>
      <c r="C131" s="423" t="s">
        <v>1409</v>
      </c>
      <c r="D131" s="422">
        <f>D100+D101+D105+D106+D110+D111+D112+D113+D114+D115+D116+D117+D118+D119+D120+D121+D122+D123+D124+D125+D126+D127+D128+D129+D130</f>
        <v>0</v>
      </c>
      <c r="F131" s="853"/>
      <c r="G131" s="853"/>
    </row>
    <row r="132" spans="1:7" s="772" customFormat="1" ht="12.75" thickBot="1">
      <c r="A132" s="369" t="s">
        <v>4</v>
      </c>
      <c r="B132" s="884"/>
      <c r="C132" s="419" t="s">
        <v>894</v>
      </c>
      <c r="D132" s="417"/>
      <c r="F132" s="454"/>
      <c r="G132" s="454"/>
    </row>
    <row r="133" spans="1:7" s="772" customFormat="1" ht="12.75" thickBot="1">
      <c r="A133" s="450" t="s">
        <v>21</v>
      </c>
      <c r="B133" s="902">
        <v>8</v>
      </c>
      <c r="C133" s="423" t="s">
        <v>985</v>
      </c>
      <c r="D133" s="422">
        <f>+D132</f>
        <v>0</v>
      </c>
      <c r="F133" s="657">
        <f>+'1.mell._Össz_Mérleg2019'!C52</f>
        <v>0</v>
      </c>
      <c r="G133" s="657">
        <f>+ROUND((D133+D131)/1000,0)-F133</f>
        <v>0</v>
      </c>
    </row>
    <row r="134" spans="1:7" s="772" customFormat="1" ht="15.75" customHeight="1" thickBot="1">
      <c r="A134" s="440" t="s">
        <v>597</v>
      </c>
      <c r="B134" s="896"/>
      <c r="C134" s="423" t="s">
        <v>1211</v>
      </c>
      <c r="D134" s="422">
        <f>+D99+D131+D133</f>
        <v>134845000</v>
      </c>
      <c r="F134" s="657"/>
      <c r="G134" s="657"/>
    </row>
    <row r="135" spans="1:7" ht="12.75" thickBot="1">
      <c r="A135" s="440"/>
      <c r="B135" s="896"/>
      <c r="C135" s="423"/>
      <c r="D135" s="422"/>
    </row>
    <row r="136" spans="1:7" ht="12.75" thickBot="1">
      <c r="A136" s="440" t="s">
        <v>598</v>
      </c>
      <c r="B136" s="896"/>
      <c r="C136" s="423" t="s">
        <v>986</v>
      </c>
      <c r="D136" s="422">
        <f>+D84+D134</f>
        <v>888836363</v>
      </c>
      <c r="F136" s="657">
        <f>+'1.mell._Össz_Mérleg2019'!C12+'1.mell._Össz_Mérleg2019'!C52</f>
        <v>888836</v>
      </c>
      <c r="G136" s="657">
        <f>+ROUND(D136/1000,0)-F136</f>
        <v>0</v>
      </c>
    </row>
  </sheetData>
  <mergeCells count="3">
    <mergeCell ref="A3:D3"/>
    <mergeCell ref="A8:D8"/>
    <mergeCell ref="A86:D8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1" fitToHeight="2" orientation="portrait" r:id="rId1"/>
  <headerFooter>
    <oddHeader>&amp;C 10. melléklet - &amp;P. oldal</oddHeader>
  </headerFooter>
  <rowBreaks count="1" manualBreakCount="1">
    <brk id="8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7"/>
  <sheetViews>
    <sheetView zoomScaleNormal="100" workbookViewId="0">
      <selection sqref="A1:C1"/>
    </sheetView>
  </sheetViews>
  <sheetFormatPr defaultColWidth="79" defaultRowHeight="12.75"/>
  <cols>
    <col min="1" max="1" width="2.42578125" style="716" bestFit="1" customWidth="1"/>
    <col min="2" max="2" width="23.28515625" style="858" customWidth="1"/>
    <col min="3" max="3" width="89.7109375" style="717" customWidth="1"/>
    <col min="4" max="16384" width="79" style="716"/>
  </cols>
  <sheetData>
    <row r="1" spans="1:11" s="707" customFormat="1" ht="18.75">
      <c r="A1" s="1430" t="s">
        <v>838</v>
      </c>
      <c r="B1" s="1430"/>
      <c r="C1" s="1430"/>
      <c r="D1" s="706"/>
      <c r="E1" s="706"/>
      <c r="F1" s="706"/>
      <c r="G1" s="706"/>
      <c r="H1" s="706"/>
      <c r="I1" s="706"/>
      <c r="J1" s="706"/>
      <c r="K1" s="706"/>
    </row>
    <row r="2" spans="1:11" s="707" customFormat="1">
      <c r="B2" s="856"/>
      <c r="C2" s="708"/>
    </row>
    <row r="3" spans="1:11" s="707" customFormat="1">
      <c r="A3" s="1431" t="s">
        <v>1492</v>
      </c>
      <c r="B3" s="1431"/>
      <c r="C3" s="1431"/>
      <c r="D3" s="706"/>
      <c r="E3" s="706"/>
      <c r="F3" s="706"/>
      <c r="G3" s="706"/>
      <c r="H3" s="706"/>
      <c r="I3" s="706"/>
      <c r="J3" s="706"/>
      <c r="K3" s="706"/>
    </row>
    <row r="4" spans="1:11" s="707" customFormat="1">
      <c r="B4" s="856"/>
      <c r="C4" s="708"/>
    </row>
    <row r="5" spans="1:11" s="707" customFormat="1">
      <c r="B5" s="856"/>
      <c r="C5" s="708"/>
    </row>
    <row r="6" spans="1:11" s="707" customFormat="1" ht="12.75" customHeight="1">
      <c r="A6" s="709" t="s">
        <v>4</v>
      </c>
      <c r="B6" s="1432" t="s">
        <v>1493</v>
      </c>
      <c r="C6" s="1432"/>
    </row>
    <row r="7" spans="1:11" s="709" customFormat="1" ht="38.25">
      <c r="B7" s="710" t="s">
        <v>839</v>
      </c>
      <c r="C7" s="711"/>
    </row>
    <row r="8" spans="1:11" s="707" customFormat="1">
      <c r="B8" s="712" t="s">
        <v>47</v>
      </c>
      <c r="C8" s="712" t="s">
        <v>1494</v>
      </c>
      <c r="F8" s="713"/>
      <c r="G8" s="713"/>
      <c r="H8" s="713"/>
      <c r="I8" s="713"/>
      <c r="J8" s="713"/>
      <c r="K8" s="713"/>
    </row>
    <row r="9" spans="1:11" s="707" customFormat="1">
      <c r="B9" s="712" t="s">
        <v>353</v>
      </c>
      <c r="C9" s="712" t="s">
        <v>1495</v>
      </c>
      <c r="F9" s="713"/>
      <c r="G9" s="713"/>
      <c r="H9" s="713"/>
      <c r="I9" s="713"/>
      <c r="J9" s="713"/>
      <c r="K9" s="713"/>
    </row>
    <row r="10" spans="1:11" s="707" customFormat="1">
      <c r="B10" s="712" t="s">
        <v>355</v>
      </c>
      <c r="C10" s="712" t="s">
        <v>1496</v>
      </c>
      <c r="F10" s="713"/>
      <c r="G10" s="713"/>
      <c r="H10" s="713"/>
      <c r="I10" s="713"/>
      <c r="J10" s="713"/>
      <c r="K10" s="713"/>
    </row>
    <row r="11" spans="1:11" s="707" customFormat="1">
      <c r="B11" s="712" t="s">
        <v>356</v>
      </c>
      <c r="C11" s="712" t="s">
        <v>1497</v>
      </c>
      <c r="F11" s="713"/>
      <c r="G11" s="713"/>
      <c r="H11" s="713"/>
      <c r="I11" s="713"/>
      <c r="J11" s="713"/>
      <c r="K11" s="713"/>
    </row>
    <row r="12" spans="1:11" s="707" customFormat="1">
      <c r="B12" s="712" t="s">
        <v>358</v>
      </c>
      <c r="C12" s="712" t="s">
        <v>1498</v>
      </c>
      <c r="F12" s="713"/>
      <c r="G12" s="713"/>
      <c r="H12" s="713"/>
      <c r="I12" s="713"/>
      <c r="J12" s="713"/>
      <c r="K12" s="713"/>
    </row>
    <row r="13" spans="1:11" s="707" customFormat="1">
      <c r="B13" s="712" t="s">
        <v>877</v>
      </c>
      <c r="C13" s="712" t="s">
        <v>1499</v>
      </c>
      <c r="F13" s="713"/>
      <c r="G13" s="713"/>
      <c r="H13" s="713"/>
      <c r="I13" s="713"/>
      <c r="J13" s="713"/>
      <c r="K13" s="713"/>
    </row>
    <row r="14" spans="1:11" s="707" customFormat="1">
      <c r="B14" s="712" t="s">
        <v>1089</v>
      </c>
      <c r="C14" s="712" t="s">
        <v>1500</v>
      </c>
      <c r="F14" s="713"/>
      <c r="G14" s="713"/>
      <c r="H14" s="713"/>
      <c r="I14" s="713"/>
      <c r="J14" s="713"/>
      <c r="K14" s="713"/>
    </row>
    <row r="15" spans="1:11" s="707" customFormat="1">
      <c r="B15" s="712" t="s">
        <v>388</v>
      </c>
      <c r="C15" s="712" t="s">
        <v>840</v>
      </c>
      <c r="F15" s="713"/>
      <c r="G15" s="713"/>
      <c r="H15" s="713"/>
      <c r="I15" s="713"/>
      <c r="J15" s="713"/>
      <c r="K15" s="713"/>
    </row>
    <row r="16" spans="1:11" s="707" customFormat="1">
      <c r="B16" s="712" t="s">
        <v>391</v>
      </c>
      <c r="C16" s="712" t="s">
        <v>841</v>
      </c>
      <c r="F16" s="713"/>
      <c r="G16" s="713"/>
      <c r="H16" s="713"/>
      <c r="I16" s="713"/>
      <c r="J16" s="713"/>
      <c r="K16" s="713"/>
    </row>
    <row r="17" spans="2:11" s="707" customFormat="1">
      <c r="B17" s="712" t="s">
        <v>425</v>
      </c>
      <c r="C17" s="714" t="s">
        <v>1501</v>
      </c>
      <c r="F17" s="713"/>
      <c r="G17" s="713"/>
      <c r="H17" s="713"/>
      <c r="I17" s="713"/>
      <c r="J17" s="713"/>
      <c r="K17" s="713"/>
    </row>
    <row r="18" spans="2:11" s="707" customFormat="1">
      <c r="B18" s="712" t="s">
        <v>444</v>
      </c>
      <c r="C18" s="714" t="s">
        <v>842</v>
      </c>
      <c r="F18" s="713"/>
      <c r="G18" s="713"/>
      <c r="H18" s="713"/>
      <c r="I18" s="713"/>
      <c r="J18" s="713"/>
      <c r="K18" s="713"/>
    </row>
    <row r="19" spans="2:11" s="707" customFormat="1" ht="25.5">
      <c r="B19" s="712" t="s">
        <v>456</v>
      </c>
      <c r="C19" s="712" t="s">
        <v>843</v>
      </c>
      <c r="F19" s="713"/>
    </row>
    <row r="20" spans="2:11" s="707" customFormat="1" ht="25.5">
      <c r="B20" s="710" t="s">
        <v>844</v>
      </c>
      <c r="C20" s="712"/>
      <c r="F20" s="713"/>
    </row>
    <row r="21" spans="2:11" s="707" customFormat="1">
      <c r="B21" s="712" t="s">
        <v>492</v>
      </c>
      <c r="C21" s="712" t="s">
        <v>481</v>
      </c>
    </row>
    <row r="22" spans="2:11" s="707" customFormat="1">
      <c r="B22" s="714" t="s">
        <v>493</v>
      </c>
      <c r="C22" s="714" t="s">
        <v>1328</v>
      </c>
      <c r="F22" s="713"/>
      <c r="G22" s="713"/>
      <c r="H22" s="713"/>
      <c r="I22" s="713"/>
      <c r="J22" s="713"/>
      <c r="K22" s="713"/>
    </row>
    <row r="23" spans="2:11" s="707" customFormat="1">
      <c r="B23" s="712" t="s">
        <v>845</v>
      </c>
      <c r="C23" s="712" t="s">
        <v>1331</v>
      </c>
      <c r="F23" s="713"/>
      <c r="G23" s="713"/>
      <c r="H23" s="713"/>
      <c r="I23" s="713"/>
      <c r="J23" s="713"/>
      <c r="K23" s="713"/>
    </row>
    <row r="24" spans="2:11" s="707" customFormat="1">
      <c r="B24" s="857" t="s">
        <v>846</v>
      </c>
      <c r="E24" s="713"/>
      <c r="F24" s="715"/>
      <c r="G24" s="715"/>
      <c r="H24" s="715"/>
      <c r="I24" s="715"/>
      <c r="J24" s="715"/>
      <c r="K24" s="715"/>
    </row>
    <row r="25" spans="2:11" s="707" customFormat="1" ht="25.5">
      <c r="B25" s="714" t="s">
        <v>429</v>
      </c>
      <c r="C25" s="712" t="s">
        <v>1502</v>
      </c>
      <c r="E25" s="713"/>
      <c r="F25" s="715"/>
      <c r="G25" s="715"/>
      <c r="H25" s="715"/>
      <c r="I25" s="715"/>
      <c r="J25" s="715"/>
      <c r="K25" s="715"/>
    </row>
    <row r="26" spans="2:11" s="707" customFormat="1" ht="25.5">
      <c r="B26" s="714" t="s">
        <v>480</v>
      </c>
      <c r="C26" s="708" t="s">
        <v>1503</v>
      </c>
      <c r="E26" s="713"/>
      <c r="F26" s="715"/>
      <c r="G26" s="715"/>
      <c r="H26" s="715"/>
      <c r="I26" s="715"/>
      <c r="J26" s="715"/>
      <c r="K26" s="715"/>
    </row>
    <row r="27" spans="2:11" s="707" customFormat="1">
      <c r="B27" s="714" t="s">
        <v>512</v>
      </c>
      <c r="C27" s="707" t="s">
        <v>1504</v>
      </c>
      <c r="E27" s="713"/>
      <c r="F27" s="715"/>
      <c r="G27" s="715"/>
      <c r="H27" s="715"/>
      <c r="I27" s="715"/>
      <c r="J27" s="715"/>
      <c r="K27" s="715"/>
    </row>
    <row r="28" spans="2:11">
      <c r="B28" s="714" t="s">
        <v>789</v>
      </c>
      <c r="C28" s="716" t="s">
        <v>1505</v>
      </c>
    </row>
    <row r="29" spans="2:11">
      <c r="B29" s="714" t="s">
        <v>751</v>
      </c>
      <c r="C29" s="716" t="s">
        <v>847</v>
      </c>
    </row>
    <row r="30" spans="2:11">
      <c r="B30" s="714" t="s">
        <v>600</v>
      </c>
      <c r="C30" s="716" t="s">
        <v>848</v>
      </c>
    </row>
    <row r="31" spans="2:11">
      <c r="B31" s="714" t="s">
        <v>790</v>
      </c>
      <c r="C31" s="717" t="s">
        <v>791</v>
      </c>
    </row>
    <row r="32" spans="2:11">
      <c r="B32" s="714" t="s">
        <v>849</v>
      </c>
      <c r="C32" s="716" t="s">
        <v>1349</v>
      </c>
    </row>
    <row r="33" spans="2:3">
      <c r="B33" s="718" t="s">
        <v>850</v>
      </c>
      <c r="C33" s="716"/>
    </row>
    <row r="34" spans="2:3">
      <c r="B34" s="858" t="s">
        <v>819</v>
      </c>
      <c r="C34" s="717" t="s">
        <v>1506</v>
      </c>
    </row>
    <row r="35" spans="2:3" ht="25.5">
      <c r="B35" s="858" t="s">
        <v>821</v>
      </c>
      <c r="C35" s="712" t="s">
        <v>1350</v>
      </c>
    </row>
    <row r="36" spans="2:3">
      <c r="C36" s="714"/>
    </row>
    <row r="37" spans="2:3">
      <c r="C37" s="716"/>
    </row>
  </sheetData>
  <mergeCells count="3">
    <mergeCell ref="A1:C1"/>
    <mergeCell ref="A3:C3"/>
    <mergeCell ref="B6:C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4">
    <tabColor rgb="FF00B0F0"/>
    <pageSetUpPr fitToPage="1"/>
  </sheetPr>
  <dimension ref="A1:M93"/>
  <sheetViews>
    <sheetView zoomScaleNormal="100" workbookViewId="0"/>
  </sheetViews>
  <sheetFormatPr defaultColWidth="68.85546875" defaultRowHeight="12"/>
  <cols>
    <col min="1" max="1" width="98.7109375" style="174" bestFit="1" customWidth="1"/>
    <col min="2" max="3" width="10.28515625" style="174" customWidth="1"/>
    <col min="4" max="4" width="10.5703125" style="174" customWidth="1"/>
    <col min="5" max="7" width="10.28515625" style="174" customWidth="1"/>
    <col min="8" max="8" width="9.28515625" style="174" customWidth="1"/>
    <col min="9" max="11" width="9.28515625" style="174" hidden="1" customWidth="1"/>
    <col min="12" max="12" width="9.28515625" style="454" hidden="1" customWidth="1"/>
    <col min="13" max="13" width="9.28515625" style="174" hidden="1" customWidth="1"/>
    <col min="14" max="45" width="9.28515625" style="174" customWidth="1"/>
    <col min="46" max="16384" width="68.85546875" style="174"/>
  </cols>
  <sheetData>
    <row r="1" spans="1:13" s="176" customFormat="1" ht="15.75">
      <c r="A1" s="468"/>
      <c r="B1" s="469"/>
      <c r="C1" s="469"/>
      <c r="D1" s="469"/>
      <c r="E1" s="469"/>
      <c r="F1" s="469"/>
      <c r="G1" s="179" t="s">
        <v>512</v>
      </c>
      <c r="L1" s="945"/>
    </row>
    <row r="2" spans="1:13" s="176" customFormat="1" ht="15.75">
      <c r="A2" s="468"/>
      <c r="B2" s="469"/>
      <c r="C2" s="469"/>
      <c r="D2" s="469"/>
      <c r="E2" s="469"/>
      <c r="F2" s="469"/>
      <c r="G2" s="179"/>
      <c r="L2" s="945"/>
    </row>
    <row r="3" spans="1:13" s="176" customFormat="1" ht="15.75">
      <c r="A3" s="1504" t="s">
        <v>331</v>
      </c>
      <c r="B3" s="1504"/>
      <c r="C3" s="1504"/>
      <c r="D3" s="1504"/>
      <c r="E3" s="1504"/>
      <c r="F3" s="1504"/>
      <c r="G3" s="1504"/>
      <c r="L3" s="945"/>
    </row>
    <row r="4" spans="1:13" s="176" customFormat="1" ht="15.75">
      <c r="A4" s="1504" t="s">
        <v>1196</v>
      </c>
      <c r="B4" s="1504"/>
      <c r="C4" s="1504"/>
      <c r="D4" s="1504"/>
      <c r="E4" s="1504"/>
      <c r="F4" s="1504"/>
      <c r="G4" s="1504"/>
      <c r="L4" s="945"/>
    </row>
    <row r="5" spans="1:13" ht="12.75" thickBot="1">
      <c r="A5" s="169"/>
      <c r="B5" s="169"/>
      <c r="C5" s="169"/>
      <c r="D5" s="169"/>
      <c r="E5" s="169"/>
      <c r="F5" s="1505" t="s">
        <v>49</v>
      </c>
      <c r="G5" s="1505"/>
    </row>
    <row r="6" spans="1:13" ht="48.75" thickBot="1">
      <c r="A6" s="786" t="s">
        <v>629</v>
      </c>
      <c r="B6" s="799" t="s">
        <v>615</v>
      </c>
      <c r="C6" s="470" t="s">
        <v>601</v>
      </c>
      <c r="D6" s="459" t="s">
        <v>1335</v>
      </c>
      <c r="E6" s="188" t="s">
        <v>1317</v>
      </c>
      <c r="F6" s="470" t="s">
        <v>614</v>
      </c>
      <c r="G6" s="840" t="s">
        <v>1336</v>
      </c>
    </row>
    <row r="7" spans="1:13" ht="12.75" thickBot="1">
      <c r="A7" s="787">
        <v>1</v>
      </c>
      <c r="B7" s="800">
        <v>2</v>
      </c>
      <c r="C7" s="471">
        <v>3</v>
      </c>
      <c r="D7" s="458">
        <v>4</v>
      </c>
      <c r="E7" s="472">
        <v>5</v>
      </c>
      <c r="F7" s="471">
        <v>6</v>
      </c>
      <c r="G7" s="841" t="s">
        <v>602</v>
      </c>
    </row>
    <row r="8" spans="1:13">
      <c r="A8" s="788" t="s">
        <v>608</v>
      </c>
      <c r="B8" s="473"/>
      <c r="C8" s="794"/>
      <c r="D8" s="457"/>
      <c r="E8" s="473"/>
      <c r="F8" s="456"/>
      <c r="G8" s="842"/>
    </row>
    <row r="9" spans="1:13">
      <c r="A9" s="789" t="s">
        <v>1182</v>
      </c>
      <c r="B9" s="290">
        <f>3000+2000+13205+3500+2200+2800+15000+1000</f>
        <v>42705</v>
      </c>
      <c r="C9" s="795"/>
      <c r="D9" s="319"/>
      <c r="E9" s="290">
        <f>3000+2000+13205+3500+2200+2800+1000+15000</f>
        <v>42705</v>
      </c>
      <c r="F9" s="455"/>
      <c r="G9" s="843">
        <f>+B9-D9-E9</f>
        <v>0</v>
      </c>
      <c r="L9" s="657">
        <f>+E9</f>
        <v>42705</v>
      </c>
      <c r="M9" s="656">
        <f t="shared" ref="M9:M13" si="0">+E9-L9</f>
        <v>0</v>
      </c>
    </row>
    <row r="10" spans="1:13">
      <c r="A10" s="789" t="s">
        <v>1245</v>
      </c>
      <c r="B10" s="290">
        <v>29999</v>
      </c>
      <c r="C10" s="795"/>
      <c r="D10" s="944"/>
      <c r="E10" s="290">
        <v>29999</v>
      </c>
      <c r="F10" s="455">
        <v>20000</v>
      </c>
      <c r="G10" s="843">
        <f>+B10-D10-E10</f>
        <v>0</v>
      </c>
      <c r="L10" s="657">
        <f>+ROUND(E10/1.27,0)</f>
        <v>23621</v>
      </c>
      <c r="M10" s="656">
        <f>+E10-L10</f>
        <v>6378</v>
      </c>
    </row>
    <row r="11" spans="1:13">
      <c r="A11" s="789" t="s">
        <v>1183</v>
      </c>
      <c r="B11" s="290">
        <v>4000</v>
      </c>
      <c r="C11" s="795"/>
      <c r="D11" s="319"/>
      <c r="E11" s="290">
        <v>4000</v>
      </c>
      <c r="F11" s="455"/>
      <c r="G11" s="843">
        <f t="shared" ref="G11:G16" si="1">+B11-D11-E11</f>
        <v>0</v>
      </c>
      <c r="L11" s="657">
        <f>+ROUND(E11/1.27,0)</f>
        <v>3150</v>
      </c>
      <c r="M11" s="656">
        <f>+E11-L11</f>
        <v>850</v>
      </c>
    </row>
    <row r="12" spans="1:13">
      <c r="A12" s="789" t="s">
        <v>1184</v>
      </c>
      <c r="B12" s="290">
        <v>6000</v>
      </c>
      <c r="C12" s="795"/>
      <c r="D12" s="319"/>
      <c r="E12" s="290">
        <v>6000</v>
      </c>
      <c r="F12" s="455"/>
      <c r="G12" s="843">
        <f t="shared" si="1"/>
        <v>0</v>
      </c>
      <c r="L12" s="657">
        <f t="shared" ref="L12:L13" si="2">+ROUND(E12/1.27,0)</f>
        <v>4724</v>
      </c>
      <c r="M12" s="656">
        <f t="shared" si="0"/>
        <v>1276</v>
      </c>
    </row>
    <row r="13" spans="1:13">
      <c r="A13" s="789" t="s">
        <v>1187</v>
      </c>
      <c r="B13" s="290">
        <f>9000-9000</f>
        <v>0</v>
      </c>
      <c r="C13" s="795"/>
      <c r="D13" s="319"/>
      <c r="E13" s="290">
        <f>9000-9000</f>
        <v>0</v>
      </c>
      <c r="F13" s="455"/>
      <c r="G13" s="843">
        <f t="shared" si="1"/>
        <v>0</v>
      </c>
      <c r="L13" s="657">
        <f t="shared" si="2"/>
        <v>0</v>
      </c>
      <c r="M13" s="656">
        <f t="shared" si="0"/>
        <v>0</v>
      </c>
    </row>
    <row r="14" spans="1:13">
      <c r="A14" s="789" t="s">
        <v>1246</v>
      </c>
      <c r="B14" s="290">
        <f>6000-6000</f>
        <v>0</v>
      </c>
      <c r="C14" s="795"/>
      <c r="D14" s="319"/>
      <c r="E14" s="290">
        <f>6000-6000</f>
        <v>0</v>
      </c>
      <c r="F14" s="455"/>
      <c r="G14" s="843">
        <f t="shared" si="1"/>
        <v>0</v>
      </c>
      <c r="L14" s="657">
        <f>+ROUND(E14/1.27,0)</f>
        <v>0</v>
      </c>
      <c r="M14" s="656">
        <f>+E14-L14</f>
        <v>0</v>
      </c>
    </row>
    <row r="15" spans="1:13">
      <c r="A15" s="789" t="s">
        <v>1477</v>
      </c>
      <c r="B15" s="290">
        <f>9831+165</f>
        <v>9996</v>
      </c>
      <c r="C15" s="795"/>
      <c r="D15" s="319">
        <v>165</v>
      </c>
      <c r="E15" s="290">
        <v>9831</v>
      </c>
      <c r="F15" s="455">
        <f>7497+2499</f>
        <v>9996</v>
      </c>
      <c r="G15" s="843">
        <f t="shared" ref="G15" si="3">+B15-D15-E15</f>
        <v>0</v>
      </c>
      <c r="I15" s="656"/>
      <c r="L15" s="657">
        <f t="shared" ref="L15:L20" si="4">+ROUND(E15/1.27,0)</f>
        <v>7741</v>
      </c>
      <c r="M15" s="656">
        <f t="shared" ref="M15:M20" si="5">+E15-L15</f>
        <v>2090</v>
      </c>
    </row>
    <row r="16" spans="1:13">
      <c r="A16" s="789" t="s">
        <v>1479</v>
      </c>
      <c r="B16" s="290">
        <v>500</v>
      </c>
      <c r="C16" s="795"/>
      <c r="D16" s="319"/>
      <c r="E16" s="290">
        <v>500</v>
      </c>
      <c r="F16" s="455"/>
      <c r="G16" s="843">
        <f t="shared" si="1"/>
        <v>0</v>
      </c>
      <c r="L16" s="657">
        <f t="shared" si="4"/>
        <v>394</v>
      </c>
      <c r="M16" s="656">
        <f t="shared" si="5"/>
        <v>106</v>
      </c>
    </row>
    <row r="17" spans="1:13">
      <c r="A17" s="789" t="s">
        <v>1480</v>
      </c>
      <c r="B17" s="290">
        <f>6500-6500</f>
        <v>0</v>
      </c>
      <c r="C17" s="795"/>
      <c r="D17" s="319"/>
      <c r="E17" s="290">
        <f>6500-6500</f>
        <v>0</v>
      </c>
      <c r="F17" s="455"/>
      <c r="G17" s="843">
        <f t="shared" ref="G17:G19" si="6">+B17-D17-E17</f>
        <v>0</v>
      </c>
      <c r="L17" s="657">
        <f t="shared" si="4"/>
        <v>0</v>
      </c>
      <c r="M17" s="656">
        <f t="shared" si="5"/>
        <v>0</v>
      </c>
    </row>
    <row r="18" spans="1:13">
      <c r="A18" s="789" t="s">
        <v>1482</v>
      </c>
      <c r="B18" s="290">
        <v>1440</v>
      </c>
      <c r="C18" s="795"/>
      <c r="D18" s="319"/>
      <c r="E18" s="290">
        <v>1440</v>
      </c>
      <c r="F18" s="455"/>
      <c r="G18" s="843">
        <f t="shared" si="6"/>
        <v>0</v>
      </c>
      <c r="L18" s="657">
        <f t="shared" ref="L18:L19" si="7">+ROUND(E18/1.27,0)</f>
        <v>1134</v>
      </c>
      <c r="M18" s="656">
        <f t="shared" ref="M18:M19" si="8">+E18-L18</f>
        <v>306</v>
      </c>
    </row>
    <row r="19" spans="1:13">
      <c r="A19" s="789" t="s">
        <v>1483</v>
      </c>
      <c r="B19" s="290">
        <v>2000</v>
      </c>
      <c r="C19" s="795"/>
      <c r="D19" s="319"/>
      <c r="E19" s="290">
        <v>2000</v>
      </c>
      <c r="F19" s="455"/>
      <c r="G19" s="843">
        <f t="shared" si="6"/>
        <v>0</v>
      </c>
      <c r="L19" s="657">
        <f t="shared" si="7"/>
        <v>1575</v>
      </c>
      <c r="M19" s="656">
        <f t="shared" si="8"/>
        <v>425</v>
      </c>
    </row>
    <row r="20" spans="1:13" ht="12.75" thickBot="1">
      <c r="A20" s="789" t="s">
        <v>1540</v>
      </c>
      <c r="B20" s="290">
        <v>350000</v>
      </c>
      <c r="C20" s="795"/>
      <c r="D20" s="319"/>
      <c r="E20" s="290">
        <v>350000</v>
      </c>
      <c r="F20" s="455">
        <v>350000</v>
      </c>
      <c r="G20" s="843">
        <f t="shared" ref="G20" si="9">+B20-D20-E20</f>
        <v>0</v>
      </c>
      <c r="L20" s="657">
        <f t="shared" si="4"/>
        <v>275591</v>
      </c>
      <c r="M20" s="656">
        <f t="shared" si="5"/>
        <v>74409</v>
      </c>
    </row>
    <row r="21" spans="1:13" ht="12.75" thickBot="1">
      <c r="A21" s="790" t="s">
        <v>609</v>
      </c>
      <c r="B21" s="329">
        <f>SUM(B8:B20)</f>
        <v>446640</v>
      </c>
      <c r="C21" s="796" t="s">
        <v>19</v>
      </c>
      <c r="D21" s="331">
        <f>SUM(D8:D20)</f>
        <v>165</v>
      </c>
      <c r="E21" s="329">
        <f>SUM(E8:E20)</f>
        <v>446475</v>
      </c>
      <c r="F21" s="460">
        <f>SUM(F8:F20)</f>
        <v>379996</v>
      </c>
      <c r="G21" s="309">
        <f>SUM(G8:G20)</f>
        <v>0</v>
      </c>
    </row>
    <row r="22" spans="1:13">
      <c r="A22" s="788" t="s">
        <v>883</v>
      </c>
      <c r="B22" s="473"/>
      <c r="C22" s="794"/>
      <c r="D22" s="457"/>
      <c r="E22" s="473"/>
      <c r="F22" s="456"/>
      <c r="G22" s="842"/>
    </row>
    <row r="23" spans="1:13" ht="12.75" thickBot="1">
      <c r="A23" s="789" t="s">
        <v>19</v>
      </c>
      <c r="B23" s="290"/>
      <c r="C23" s="795"/>
      <c r="D23" s="319"/>
      <c r="E23" s="290"/>
      <c r="F23" s="455"/>
      <c r="G23" s="843">
        <f>+B23-D23-E23</f>
        <v>0</v>
      </c>
    </row>
    <row r="24" spans="1:13" ht="12.75" thickBot="1">
      <c r="A24" s="790" t="s">
        <v>884</v>
      </c>
      <c r="B24" s="329">
        <f>+B23</f>
        <v>0</v>
      </c>
      <c r="C24" s="796" t="s">
        <v>19</v>
      </c>
      <c r="D24" s="331">
        <f>+D23</f>
        <v>0</v>
      </c>
      <c r="E24" s="329">
        <f>+E23</f>
        <v>0</v>
      </c>
      <c r="F24" s="460">
        <f>+F23</f>
        <v>0</v>
      </c>
      <c r="G24" s="309">
        <f>+G23</f>
        <v>0</v>
      </c>
    </row>
    <row r="25" spans="1:13">
      <c r="A25" s="788" t="s">
        <v>610</v>
      </c>
      <c r="B25" s="473"/>
      <c r="C25" s="794"/>
      <c r="D25" s="457"/>
      <c r="E25" s="473"/>
      <c r="F25" s="456"/>
      <c r="G25" s="842"/>
      <c r="L25" s="657"/>
      <c r="M25" s="656"/>
    </row>
    <row r="26" spans="1:13" ht="12.75" thickBot="1">
      <c r="A26" s="789" t="s">
        <v>1186</v>
      </c>
      <c r="B26" s="290">
        <f>1600-800</f>
        <v>800</v>
      </c>
      <c r="C26" s="795"/>
      <c r="D26" s="319"/>
      <c r="E26" s="290">
        <f>1600-800</f>
        <v>800</v>
      </c>
      <c r="F26" s="455"/>
      <c r="G26" s="843">
        <f>+B26-D26-E26</f>
        <v>0</v>
      </c>
      <c r="L26" s="657">
        <f>+ROUND(E26/1.27,0)</f>
        <v>630</v>
      </c>
      <c r="M26" s="656">
        <f>+E26-L26</f>
        <v>170</v>
      </c>
    </row>
    <row r="27" spans="1:13" ht="12.75" thickBot="1">
      <c r="A27" s="790" t="s">
        <v>611</v>
      </c>
      <c r="B27" s="329">
        <f>+B26</f>
        <v>800</v>
      </c>
      <c r="C27" s="796" t="s">
        <v>19</v>
      </c>
      <c r="D27" s="331">
        <f>+D26</f>
        <v>0</v>
      </c>
      <c r="E27" s="329">
        <f>+E26</f>
        <v>800</v>
      </c>
      <c r="F27" s="460">
        <f>+F26</f>
        <v>0</v>
      </c>
      <c r="G27" s="309">
        <f>+G26</f>
        <v>0</v>
      </c>
    </row>
    <row r="28" spans="1:13">
      <c r="A28" s="788" t="s">
        <v>612</v>
      </c>
      <c r="B28" s="473"/>
      <c r="C28" s="794"/>
      <c r="D28" s="457"/>
      <c r="E28" s="473"/>
      <c r="F28" s="456"/>
      <c r="G28" s="842"/>
    </row>
    <row r="29" spans="1:13">
      <c r="A29" s="789" t="s">
        <v>1478</v>
      </c>
      <c r="B29" s="290">
        <v>8543</v>
      </c>
      <c r="C29" s="795"/>
      <c r="D29" s="319"/>
      <c r="E29" s="290">
        <v>8543</v>
      </c>
      <c r="F29" s="455">
        <v>2708</v>
      </c>
      <c r="G29" s="843">
        <f>+B29-D29-E29</f>
        <v>0</v>
      </c>
      <c r="L29" s="657">
        <f>+ROUND(E29/1.27,0)</f>
        <v>6727</v>
      </c>
      <c r="M29" s="656">
        <f>+E29-L29</f>
        <v>1816</v>
      </c>
    </row>
    <row r="30" spans="1:13">
      <c r="A30" s="789" t="s">
        <v>1484</v>
      </c>
      <c r="B30" s="290">
        <f>6096-4096</f>
        <v>2000</v>
      </c>
      <c r="C30" s="795"/>
      <c r="D30" s="319"/>
      <c r="E30" s="290">
        <f>6096-4096</f>
        <v>2000</v>
      </c>
      <c r="F30" s="455"/>
      <c r="G30" s="843">
        <f>+B30-D30-E30</f>
        <v>0</v>
      </c>
      <c r="L30" s="657">
        <f>+ROUND(E30/1.27,0)</f>
        <v>1575</v>
      </c>
      <c r="M30" s="656">
        <f>+E30-L30</f>
        <v>425</v>
      </c>
    </row>
    <row r="31" spans="1:13" ht="12.75" thickBot="1">
      <c r="A31" s="789" t="s">
        <v>1186</v>
      </c>
      <c r="B31" s="290">
        <v>508</v>
      </c>
      <c r="C31" s="795"/>
      <c r="D31" s="319"/>
      <c r="E31" s="290">
        <v>508</v>
      </c>
      <c r="F31" s="455"/>
      <c r="G31" s="843">
        <f>+B31-D31-E31</f>
        <v>0</v>
      </c>
      <c r="L31" s="657">
        <f>+ROUND(E31/1.27,0)</f>
        <v>400</v>
      </c>
      <c r="M31" s="656">
        <f>+E31-L31</f>
        <v>108</v>
      </c>
    </row>
    <row r="32" spans="1:13" ht="12.75" thickBot="1">
      <c r="A32" s="790" t="s">
        <v>613</v>
      </c>
      <c r="B32" s="329">
        <f>SUM(B29:B31)</f>
        <v>11051</v>
      </c>
      <c r="C32" s="796" t="s">
        <v>19</v>
      </c>
      <c r="D32" s="331">
        <f t="shared" ref="D32:G32" si="10">SUM(D29:D31)</f>
        <v>0</v>
      </c>
      <c r="E32" s="329">
        <f t="shared" si="10"/>
        <v>11051</v>
      </c>
      <c r="F32" s="460">
        <f t="shared" si="10"/>
        <v>2708</v>
      </c>
      <c r="G32" s="309">
        <f t="shared" si="10"/>
        <v>0</v>
      </c>
    </row>
    <row r="33" spans="1:13">
      <c r="A33" s="788" t="s">
        <v>874</v>
      </c>
      <c r="B33" s="473"/>
      <c r="C33" s="794"/>
      <c r="D33" s="457"/>
      <c r="E33" s="473"/>
      <c r="F33" s="456"/>
      <c r="G33" s="842"/>
    </row>
    <row r="34" spans="1:13" ht="12.75" thickBot="1">
      <c r="A34" s="789" t="s">
        <v>1185</v>
      </c>
      <c r="B34" s="290">
        <f>500+1300+1500-2000</f>
        <v>1300</v>
      </c>
      <c r="C34" s="795" t="s">
        <v>459</v>
      </c>
      <c r="D34" s="319"/>
      <c r="E34" s="290">
        <f>500+1300+1500-2000</f>
        <v>1300</v>
      </c>
      <c r="F34" s="455"/>
      <c r="G34" s="843">
        <f>+B34-D34-E34</f>
        <v>0</v>
      </c>
      <c r="L34" s="657">
        <f>+ROUND(E34/1.27,0)</f>
        <v>1024</v>
      </c>
      <c r="M34" s="656">
        <f>+E34-L34</f>
        <v>276</v>
      </c>
    </row>
    <row r="35" spans="1:13" ht="12.75" thickBot="1">
      <c r="A35" s="790" t="s">
        <v>873</v>
      </c>
      <c r="B35" s="329">
        <f>+B34</f>
        <v>1300</v>
      </c>
      <c r="C35" s="796" t="s">
        <v>19</v>
      </c>
      <c r="D35" s="331">
        <f>+D34</f>
        <v>0</v>
      </c>
      <c r="E35" s="329">
        <f>+E34</f>
        <v>1300</v>
      </c>
      <c r="F35" s="460">
        <f>+F34</f>
        <v>0</v>
      </c>
      <c r="G35" s="309">
        <f>+G34</f>
        <v>0</v>
      </c>
    </row>
    <row r="36" spans="1:13">
      <c r="A36" s="788" t="s">
        <v>1337</v>
      </c>
      <c r="B36" s="473"/>
      <c r="C36" s="794"/>
      <c r="D36" s="457"/>
      <c r="E36" s="473"/>
      <c r="F36" s="456"/>
      <c r="G36" s="842"/>
    </row>
    <row r="37" spans="1:13" ht="12.75" thickBot="1">
      <c r="A37" s="789" t="s">
        <v>19</v>
      </c>
      <c r="B37" s="290"/>
      <c r="C37" s="795"/>
      <c r="D37" s="319"/>
      <c r="E37" s="290"/>
      <c r="F37" s="455"/>
      <c r="G37" s="843">
        <f>+B37-D37-E37</f>
        <v>0</v>
      </c>
      <c r="L37" s="657">
        <f>+ROUND(E37/1.27,0)</f>
        <v>0</v>
      </c>
      <c r="M37" s="656">
        <f>+E37-L37</f>
        <v>0</v>
      </c>
    </row>
    <row r="38" spans="1:13" ht="12.75" thickBot="1">
      <c r="A38" s="790" t="s">
        <v>1338</v>
      </c>
      <c r="B38" s="329">
        <f>+B37</f>
        <v>0</v>
      </c>
      <c r="C38" s="796" t="s">
        <v>19</v>
      </c>
      <c r="D38" s="331">
        <f>+D37</f>
        <v>0</v>
      </c>
      <c r="E38" s="329">
        <f>+E37</f>
        <v>0</v>
      </c>
      <c r="F38" s="460">
        <f>+F37</f>
        <v>0</v>
      </c>
      <c r="G38" s="309">
        <f>+G37</f>
        <v>0</v>
      </c>
    </row>
    <row r="39" spans="1:13">
      <c r="A39" s="791" t="s">
        <v>624</v>
      </c>
      <c r="B39" s="474"/>
      <c r="C39" s="797"/>
      <c r="D39" s="461"/>
      <c r="E39" s="474"/>
      <c r="F39" s="462"/>
      <c r="G39" s="844"/>
    </row>
    <row r="40" spans="1:13" ht="12.75" thickBot="1">
      <c r="A40" s="789" t="s">
        <v>1481</v>
      </c>
      <c r="B40" s="290">
        <v>6672</v>
      </c>
      <c r="C40" s="795"/>
      <c r="D40" s="319"/>
      <c r="E40" s="290">
        <v>6672</v>
      </c>
      <c r="F40" s="455"/>
      <c r="G40" s="843">
        <f t="shared" ref="G40" si="11">+B40-D40-E40</f>
        <v>0</v>
      </c>
      <c r="L40" s="657">
        <f t="shared" ref="L40" si="12">+ROUND(E40/1.27,0)</f>
        <v>5254</v>
      </c>
      <c r="M40" s="656">
        <f t="shared" ref="M40" si="13">+E40-L40</f>
        <v>1418</v>
      </c>
    </row>
    <row r="41" spans="1:13" ht="12.75" thickBot="1">
      <c r="A41" s="790" t="s">
        <v>625</v>
      </c>
      <c r="B41" s="329">
        <f>SUM(B40:B40)</f>
        <v>6672</v>
      </c>
      <c r="C41" s="796" t="s">
        <v>19</v>
      </c>
      <c r="D41" s="331">
        <f>SUM(D40:D40)</f>
        <v>0</v>
      </c>
      <c r="E41" s="329">
        <f>SUM(E40:E40)</f>
        <v>6672</v>
      </c>
      <c r="F41" s="460">
        <f>SUM(F40:F40)</f>
        <v>0</v>
      </c>
      <c r="G41" s="309">
        <f>SUM(G40:G40)</f>
        <v>0</v>
      </c>
      <c r="I41" s="656">
        <f>+'1.mell._Össz_Mérleg2019'!C151</f>
        <v>0</v>
      </c>
      <c r="J41" s="656">
        <f>+E41-I41</f>
        <v>6672</v>
      </c>
    </row>
    <row r="42" spans="1:13" ht="12.75" thickBot="1">
      <c r="A42" s="792"/>
      <c r="B42" s="475"/>
      <c r="C42" s="798"/>
      <c r="D42" s="463"/>
      <c r="E42" s="475"/>
      <c r="F42" s="464"/>
      <c r="G42" s="845"/>
    </row>
    <row r="43" spans="1:13" ht="12.75" thickBot="1">
      <c r="A43" s="793" t="s">
        <v>616</v>
      </c>
      <c r="B43" s="476">
        <f>+B21+B24+B27+B32+B35+B38+B41</f>
        <v>466463</v>
      </c>
      <c r="C43" s="796" t="s">
        <v>19</v>
      </c>
      <c r="D43" s="465">
        <f>+D21+D24+D27+D32+D35+D38+D41</f>
        <v>165</v>
      </c>
      <c r="E43" s="476">
        <f>+E21+E24+E27+E32+E35+E38+E41</f>
        <v>466298</v>
      </c>
      <c r="F43" s="466">
        <f>+F21+F24+F27+F32+F35+F38+F41</f>
        <v>382704</v>
      </c>
      <c r="G43" s="846">
        <f>+G21+G24+G27+G32+G35+G38+G41</f>
        <v>0</v>
      </c>
      <c r="I43" s="656">
        <f>+'1.mell._Össz_Mérleg2019'!C150</f>
        <v>466298</v>
      </c>
      <c r="J43" s="656">
        <f>+E43-I43</f>
        <v>0</v>
      </c>
    </row>
    <row r="44" spans="1:13" ht="12.75" thickBot="1">
      <c r="A44" s="482"/>
      <c r="B44" s="477"/>
      <c r="C44" s="478"/>
      <c r="D44" s="477"/>
      <c r="E44" s="477"/>
      <c r="F44" s="477"/>
      <c r="G44" s="477"/>
    </row>
    <row r="45" spans="1:13">
      <c r="A45" s="801" t="s">
        <v>603</v>
      </c>
      <c r="B45" s="480"/>
      <c r="C45" s="802"/>
      <c r="D45" s="479"/>
      <c r="E45" s="480"/>
      <c r="F45" s="481"/>
      <c r="G45" s="847"/>
    </row>
    <row r="46" spans="1:13">
      <c r="A46" s="789" t="s">
        <v>1485</v>
      </c>
      <c r="B46" s="290">
        <v>6000</v>
      </c>
      <c r="C46" s="795"/>
      <c r="D46" s="319"/>
      <c r="E46" s="290">
        <v>6000</v>
      </c>
      <c r="F46" s="455"/>
      <c r="G46" s="843">
        <f>+B46-D46-E46</f>
        <v>0</v>
      </c>
      <c r="L46" s="657">
        <f>+ROUND(E46/1.27,0)</f>
        <v>4724</v>
      </c>
      <c r="M46" s="656">
        <f>+E46-L46</f>
        <v>1276</v>
      </c>
    </row>
    <row r="47" spans="1:13">
      <c r="A47" s="789" t="s">
        <v>1486</v>
      </c>
      <c r="B47" s="290">
        <f>40000-29000</f>
        <v>11000</v>
      </c>
      <c r="C47" s="795"/>
      <c r="D47" s="319"/>
      <c r="E47" s="290">
        <f>40000-29000</f>
        <v>11000</v>
      </c>
      <c r="F47" s="455"/>
      <c r="G47" s="843">
        <f>+B47-D47-E47</f>
        <v>0</v>
      </c>
      <c r="L47" s="657">
        <f>+ROUND(E47/1.27,0)</f>
        <v>8661</v>
      </c>
      <c r="M47" s="656">
        <f>+E47-L47</f>
        <v>2339</v>
      </c>
    </row>
    <row r="48" spans="1:13" ht="12.75" thickBot="1">
      <c r="A48" s="789" t="s">
        <v>1487</v>
      </c>
      <c r="B48" s="290">
        <v>2676</v>
      </c>
      <c r="C48" s="795"/>
      <c r="D48" s="319"/>
      <c r="E48" s="290">
        <v>2676</v>
      </c>
      <c r="F48" s="455"/>
      <c r="G48" s="843">
        <f>+B48-D48-E48</f>
        <v>0</v>
      </c>
      <c r="L48" s="657">
        <f>+ROUND(E48/1.27,0)</f>
        <v>2107</v>
      </c>
      <c r="M48" s="656">
        <f>+E48-L48</f>
        <v>569</v>
      </c>
    </row>
    <row r="49" spans="1:13" ht="12.75" thickBot="1">
      <c r="A49" s="790" t="s">
        <v>604</v>
      </c>
      <c r="B49" s="329">
        <f>SUM(B46:B48)</f>
        <v>19676</v>
      </c>
      <c r="C49" s="796" t="s">
        <v>19</v>
      </c>
      <c r="D49" s="331">
        <f>SUM(D46:D48)</f>
        <v>0</v>
      </c>
      <c r="E49" s="329">
        <f>SUM(E46:E48)</f>
        <v>19676</v>
      </c>
      <c r="F49" s="460">
        <f>SUM(F46:F48)</f>
        <v>0</v>
      </c>
      <c r="G49" s="309">
        <f>SUM(G46:G48)</f>
        <v>0</v>
      </c>
    </row>
    <row r="50" spans="1:13">
      <c r="A50" s="788" t="s">
        <v>885</v>
      </c>
      <c r="B50" s="473"/>
      <c r="C50" s="794"/>
      <c r="D50" s="457"/>
      <c r="E50" s="473"/>
      <c r="F50" s="456"/>
      <c r="G50" s="842"/>
    </row>
    <row r="51" spans="1:13" ht="12.75" thickBot="1">
      <c r="A51" s="789" t="s">
        <v>19</v>
      </c>
      <c r="B51" s="290"/>
      <c r="C51" s="795"/>
      <c r="D51" s="319"/>
      <c r="E51" s="290"/>
      <c r="F51" s="455"/>
      <c r="G51" s="843">
        <f>+B51-D51-E51</f>
        <v>0</v>
      </c>
    </row>
    <row r="52" spans="1:13" ht="12.75" thickBot="1">
      <c r="A52" s="790" t="s">
        <v>886</v>
      </c>
      <c r="B52" s="329">
        <f>+B51</f>
        <v>0</v>
      </c>
      <c r="C52" s="796" t="s">
        <v>19</v>
      </c>
      <c r="D52" s="331">
        <f>+D51</f>
        <v>0</v>
      </c>
      <c r="E52" s="329">
        <f>+E51</f>
        <v>0</v>
      </c>
      <c r="F52" s="460">
        <f>+F51</f>
        <v>0</v>
      </c>
      <c r="G52" s="309">
        <f>+G51</f>
        <v>0</v>
      </c>
    </row>
    <row r="53" spans="1:13">
      <c r="A53" s="788" t="s">
        <v>605</v>
      </c>
      <c r="B53" s="473"/>
      <c r="C53" s="794"/>
      <c r="D53" s="457"/>
      <c r="E53" s="473"/>
      <c r="F53" s="456"/>
      <c r="G53" s="842"/>
    </row>
    <row r="54" spans="1:13" ht="12.75" thickBot="1">
      <c r="A54" s="789" t="s">
        <v>19</v>
      </c>
      <c r="B54" s="290"/>
      <c r="C54" s="795"/>
      <c r="D54" s="319"/>
      <c r="E54" s="290"/>
      <c r="F54" s="455"/>
      <c r="G54" s="843">
        <f>+B54-D54-E54</f>
        <v>0</v>
      </c>
    </row>
    <row r="55" spans="1:13" ht="12.75" thickBot="1">
      <c r="A55" s="790" t="s">
        <v>606</v>
      </c>
      <c r="B55" s="329">
        <f>+B54</f>
        <v>0</v>
      </c>
      <c r="C55" s="796" t="s">
        <v>19</v>
      </c>
      <c r="D55" s="331">
        <f>+D54</f>
        <v>0</v>
      </c>
      <c r="E55" s="329">
        <f>+E54</f>
        <v>0</v>
      </c>
      <c r="F55" s="460">
        <f>+F54</f>
        <v>0</v>
      </c>
      <c r="G55" s="309">
        <f>+G54</f>
        <v>0</v>
      </c>
    </row>
    <row r="56" spans="1:13">
      <c r="A56" s="788" t="s">
        <v>899</v>
      </c>
      <c r="B56" s="473"/>
      <c r="C56" s="794"/>
      <c r="D56" s="457"/>
      <c r="E56" s="473"/>
      <c r="F56" s="456"/>
      <c r="G56" s="842"/>
    </row>
    <row r="57" spans="1:13" ht="12.75" thickBot="1">
      <c r="A57" s="789" t="s">
        <v>19</v>
      </c>
      <c r="B57" s="290"/>
      <c r="C57" s="795"/>
      <c r="D57" s="319"/>
      <c r="E57" s="290"/>
      <c r="F57" s="455"/>
      <c r="G57" s="843">
        <f>+B57-D57-E57</f>
        <v>0</v>
      </c>
      <c r="L57" s="657">
        <f>+ROUND(E57/1.27,0)</f>
        <v>0</v>
      </c>
      <c r="M57" s="656">
        <f>+E57-L57</f>
        <v>0</v>
      </c>
    </row>
    <row r="58" spans="1:13" ht="12.75" thickBot="1">
      <c r="A58" s="790" t="s">
        <v>607</v>
      </c>
      <c r="B58" s="329">
        <f>SUM(B57:B57)</f>
        <v>0</v>
      </c>
      <c r="C58" s="796" t="s">
        <v>19</v>
      </c>
      <c r="D58" s="331">
        <f>SUM(D57:D57)</f>
        <v>0</v>
      </c>
      <c r="E58" s="329">
        <f>SUM(E57:E57)</f>
        <v>0</v>
      </c>
      <c r="F58" s="460">
        <f>SUM(F57:F57)</f>
        <v>0</v>
      </c>
      <c r="G58" s="309">
        <f>SUM(G57:G57)</f>
        <v>0</v>
      </c>
    </row>
    <row r="59" spans="1:13">
      <c r="A59" s="788" t="s">
        <v>900</v>
      </c>
      <c r="B59" s="473"/>
      <c r="C59" s="794"/>
      <c r="D59" s="457"/>
      <c r="E59" s="473"/>
      <c r="F59" s="456"/>
      <c r="G59" s="842"/>
    </row>
    <row r="60" spans="1:13" ht="12.75" thickBot="1">
      <c r="A60" s="789" t="s">
        <v>19</v>
      </c>
      <c r="B60" s="290"/>
      <c r="C60" s="795"/>
      <c r="D60" s="319"/>
      <c r="E60" s="290"/>
      <c r="F60" s="455"/>
      <c r="G60" s="843">
        <f>+B60-D60-E60</f>
        <v>0</v>
      </c>
    </row>
    <row r="61" spans="1:13" ht="12.75" thickBot="1">
      <c r="A61" s="790" t="s">
        <v>1341</v>
      </c>
      <c r="B61" s="329">
        <f>+B60</f>
        <v>0</v>
      </c>
      <c r="C61" s="796" t="s">
        <v>19</v>
      </c>
      <c r="D61" s="331">
        <f>+D60</f>
        <v>0</v>
      </c>
      <c r="E61" s="329">
        <f>+E60</f>
        <v>0</v>
      </c>
      <c r="F61" s="460">
        <f>+F60</f>
        <v>0</v>
      </c>
      <c r="G61" s="309">
        <f>+G60</f>
        <v>0</v>
      </c>
    </row>
    <row r="62" spans="1:13">
      <c r="A62" s="788" t="s">
        <v>1339</v>
      </c>
      <c r="B62" s="473"/>
      <c r="C62" s="794"/>
      <c r="D62" s="457"/>
      <c r="E62" s="473"/>
      <c r="F62" s="456"/>
      <c r="G62" s="842"/>
    </row>
    <row r="63" spans="1:13" ht="12.75" thickBot="1">
      <c r="A63" s="789" t="s">
        <v>19</v>
      </c>
      <c r="B63" s="290"/>
      <c r="C63" s="795"/>
      <c r="D63" s="319"/>
      <c r="E63" s="290"/>
      <c r="F63" s="455"/>
      <c r="G63" s="843">
        <f>+B63-D63-E63</f>
        <v>0</v>
      </c>
    </row>
    <row r="64" spans="1:13" ht="12.75" thickBot="1">
      <c r="A64" s="790" t="s">
        <v>1340</v>
      </c>
      <c r="B64" s="329">
        <f>+B63</f>
        <v>0</v>
      </c>
      <c r="C64" s="796" t="s">
        <v>19</v>
      </c>
      <c r="D64" s="331">
        <f>+D63</f>
        <v>0</v>
      </c>
      <c r="E64" s="329">
        <f>+E63</f>
        <v>0</v>
      </c>
      <c r="F64" s="460">
        <f>+F63</f>
        <v>0</v>
      </c>
      <c r="G64" s="309">
        <f>+G63</f>
        <v>0</v>
      </c>
    </row>
    <row r="65" spans="1:13">
      <c r="A65" s="791" t="s">
        <v>626</v>
      </c>
      <c r="B65" s="474"/>
      <c r="C65" s="797"/>
      <c r="D65" s="461"/>
      <c r="E65" s="474"/>
      <c r="F65" s="462"/>
      <c r="G65" s="844"/>
    </row>
    <row r="66" spans="1:13" ht="12.75" thickBot="1">
      <c r="A66" s="789" t="s">
        <v>19</v>
      </c>
      <c r="B66" s="290"/>
      <c r="C66" s="795"/>
      <c r="D66" s="319"/>
      <c r="E66" s="290"/>
      <c r="F66" s="455"/>
      <c r="G66" s="843">
        <f t="shared" ref="G66" si="14">+B66-D66-E66</f>
        <v>0</v>
      </c>
      <c r="L66" s="657">
        <f t="shared" ref="L66" si="15">+ROUND(E66/1.27,0)</f>
        <v>0</v>
      </c>
      <c r="M66" s="656">
        <f t="shared" ref="M66" si="16">+E66-L66</f>
        <v>0</v>
      </c>
    </row>
    <row r="67" spans="1:13" ht="12.75" thickBot="1">
      <c r="A67" s="790" t="s">
        <v>627</v>
      </c>
      <c r="B67" s="329">
        <f>SUM(B66:B66)</f>
        <v>0</v>
      </c>
      <c r="C67" s="796" t="s">
        <v>19</v>
      </c>
      <c r="D67" s="331">
        <f>SUM(D66:D66)</f>
        <v>0</v>
      </c>
      <c r="E67" s="329">
        <f>SUM(E66:E66)</f>
        <v>0</v>
      </c>
      <c r="F67" s="460">
        <f>SUM(F66:F66)</f>
        <v>0</v>
      </c>
      <c r="G67" s="309">
        <f>SUM(G66:G66)</f>
        <v>0</v>
      </c>
      <c r="I67" s="656">
        <f>+'1.mell._Össz_Mérleg2019'!C160</f>
        <v>0</v>
      </c>
      <c r="J67" s="656">
        <f>+E67-I67</f>
        <v>0</v>
      </c>
    </row>
    <row r="68" spans="1:13" ht="12.75" thickBot="1">
      <c r="A68" s="792"/>
      <c r="B68" s="475"/>
      <c r="C68" s="798"/>
      <c r="D68" s="463"/>
      <c r="E68" s="475"/>
      <c r="F68" s="464"/>
      <c r="G68" s="845"/>
    </row>
    <row r="69" spans="1:13" ht="12.75" thickBot="1">
      <c r="A69" s="793" t="s">
        <v>617</v>
      </c>
      <c r="B69" s="476">
        <f>+B49+B52+B55+B58+B61+B64+B67</f>
        <v>19676</v>
      </c>
      <c r="C69" s="796" t="s">
        <v>19</v>
      </c>
      <c r="D69" s="465">
        <f>+D49+D52+D55+D58+D61+D64+D67</f>
        <v>0</v>
      </c>
      <c r="E69" s="476">
        <f>+E49+E52+E55+E58+E61+E64+E67</f>
        <v>19676</v>
      </c>
      <c r="F69" s="466">
        <f>+F49+F52+F55+F58+F61+F64+F67</f>
        <v>0</v>
      </c>
      <c r="G69" s="846">
        <f>+G49+G52+G55+G58+G61+G64+G67</f>
        <v>0</v>
      </c>
      <c r="I69" s="656">
        <f>+'1.mell._Össz_Mérleg2019'!C159</f>
        <v>19676</v>
      </c>
      <c r="J69" s="656">
        <f>+E69-I69</f>
        <v>0</v>
      </c>
    </row>
    <row r="70" spans="1:13" ht="12.75" thickBot="1">
      <c r="A70" s="467"/>
      <c r="B70" s="803"/>
      <c r="C70" s="467"/>
      <c r="D70" s="467"/>
      <c r="E70" s="467"/>
      <c r="F70" s="467"/>
      <c r="G70" s="848"/>
    </row>
    <row r="71" spans="1:13">
      <c r="A71" s="788" t="s">
        <v>618</v>
      </c>
      <c r="B71" s="473"/>
      <c r="C71" s="794"/>
      <c r="D71" s="457"/>
      <c r="E71" s="473"/>
      <c r="F71" s="456"/>
      <c r="G71" s="842"/>
    </row>
    <row r="72" spans="1:13" ht="12.75" thickBot="1">
      <c r="A72" s="789" t="s">
        <v>19</v>
      </c>
      <c r="B72" s="290"/>
      <c r="C72" s="795"/>
      <c r="D72" s="319"/>
      <c r="E72" s="290"/>
      <c r="F72" s="455"/>
      <c r="G72" s="843">
        <f>+B72-D72-E72</f>
        <v>0</v>
      </c>
    </row>
    <row r="73" spans="1:13" ht="12.75" thickBot="1">
      <c r="A73" s="790" t="s">
        <v>619</v>
      </c>
      <c r="B73" s="329">
        <f>+B72</f>
        <v>0</v>
      </c>
      <c r="C73" s="796" t="s">
        <v>19</v>
      </c>
      <c r="D73" s="331">
        <f>+D72</f>
        <v>0</v>
      </c>
      <c r="E73" s="329">
        <f>+E72</f>
        <v>0</v>
      </c>
      <c r="F73" s="460">
        <f>+F72</f>
        <v>0</v>
      </c>
      <c r="G73" s="309">
        <f>+G72</f>
        <v>0</v>
      </c>
    </row>
    <row r="74" spans="1:13">
      <c r="A74" s="788" t="s">
        <v>887</v>
      </c>
      <c r="B74" s="473"/>
      <c r="C74" s="794"/>
      <c r="D74" s="457"/>
      <c r="E74" s="473"/>
      <c r="F74" s="456"/>
      <c r="G74" s="842"/>
    </row>
    <row r="75" spans="1:13" ht="12.75" thickBot="1">
      <c r="A75" s="789" t="s">
        <v>19</v>
      </c>
      <c r="B75" s="290"/>
      <c r="C75" s="795"/>
      <c r="D75" s="319"/>
      <c r="E75" s="290"/>
      <c r="F75" s="455"/>
      <c r="G75" s="843">
        <f>+B75-D75-E75</f>
        <v>0</v>
      </c>
    </row>
    <row r="76" spans="1:13" ht="12.75" thickBot="1">
      <c r="A76" s="790" t="s">
        <v>888</v>
      </c>
      <c r="B76" s="329">
        <f>+B75</f>
        <v>0</v>
      </c>
      <c r="C76" s="796" t="s">
        <v>19</v>
      </c>
      <c r="D76" s="331">
        <f>+D75</f>
        <v>0</v>
      </c>
      <c r="E76" s="329">
        <f>+E75</f>
        <v>0</v>
      </c>
      <c r="F76" s="460">
        <f>+F75</f>
        <v>0</v>
      </c>
      <c r="G76" s="309">
        <f>+G75</f>
        <v>0</v>
      </c>
    </row>
    <row r="77" spans="1:13">
      <c r="A77" s="788" t="s">
        <v>620</v>
      </c>
      <c r="B77" s="473"/>
      <c r="C77" s="794"/>
      <c r="D77" s="457"/>
      <c r="E77" s="473"/>
      <c r="F77" s="456"/>
      <c r="G77" s="842"/>
    </row>
    <row r="78" spans="1:13" ht="12.75" thickBot="1">
      <c r="A78" s="789" t="s">
        <v>19</v>
      </c>
      <c r="B78" s="290"/>
      <c r="C78" s="795"/>
      <c r="D78" s="319"/>
      <c r="E78" s="290"/>
      <c r="F78" s="455"/>
      <c r="G78" s="843">
        <f>+B78-D78-E78</f>
        <v>0</v>
      </c>
    </row>
    <row r="79" spans="1:13" ht="12.75" thickBot="1">
      <c r="A79" s="790" t="s">
        <v>621</v>
      </c>
      <c r="B79" s="329">
        <f>+B78</f>
        <v>0</v>
      </c>
      <c r="C79" s="796" t="s">
        <v>19</v>
      </c>
      <c r="D79" s="331">
        <f>+D78</f>
        <v>0</v>
      </c>
      <c r="E79" s="329">
        <f>+E78</f>
        <v>0</v>
      </c>
      <c r="F79" s="460">
        <f>+F78</f>
        <v>0</v>
      </c>
      <c r="G79" s="309">
        <f>+G78</f>
        <v>0</v>
      </c>
    </row>
    <row r="80" spans="1:13">
      <c r="A80" s="788" t="s">
        <v>622</v>
      </c>
      <c r="B80" s="473"/>
      <c r="C80" s="794"/>
      <c r="D80" s="457"/>
      <c r="E80" s="473"/>
      <c r="F80" s="456"/>
      <c r="G80" s="842"/>
    </row>
    <row r="81" spans="1:10" ht="12.75" thickBot="1">
      <c r="A81" s="789" t="s">
        <v>19</v>
      </c>
      <c r="B81" s="290"/>
      <c r="C81" s="795"/>
      <c r="D81" s="319"/>
      <c r="E81" s="290"/>
      <c r="F81" s="455"/>
      <c r="G81" s="843">
        <f>+B81-D81-E81</f>
        <v>0</v>
      </c>
    </row>
    <row r="82" spans="1:10" ht="12.75" thickBot="1">
      <c r="A82" s="790" t="s">
        <v>623</v>
      </c>
      <c r="B82" s="329">
        <f>+B81</f>
        <v>0</v>
      </c>
      <c r="C82" s="796" t="s">
        <v>19</v>
      </c>
      <c r="D82" s="331">
        <f>+D81</f>
        <v>0</v>
      </c>
      <c r="E82" s="329">
        <f>+E81</f>
        <v>0</v>
      </c>
      <c r="F82" s="460">
        <f>+F81</f>
        <v>0</v>
      </c>
      <c r="G82" s="309">
        <f>+G81</f>
        <v>0</v>
      </c>
    </row>
    <row r="83" spans="1:10">
      <c r="A83" s="788" t="s">
        <v>875</v>
      </c>
      <c r="B83" s="473"/>
      <c r="C83" s="794"/>
      <c r="D83" s="457"/>
      <c r="E83" s="473"/>
      <c r="F83" s="456"/>
      <c r="G83" s="842"/>
    </row>
    <row r="84" spans="1:10" ht="12.75" thickBot="1">
      <c r="A84" s="789" t="s">
        <v>19</v>
      </c>
      <c r="B84" s="290"/>
      <c r="C84" s="795"/>
      <c r="D84" s="319"/>
      <c r="E84" s="290"/>
      <c r="F84" s="455"/>
      <c r="G84" s="843">
        <f>+B84-D84-E84</f>
        <v>0</v>
      </c>
    </row>
    <row r="85" spans="1:10" ht="12.75" thickBot="1">
      <c r="A85" s="790" t="s">
        <v>876</v>
      </c>
      <c r="B85" s="329">
        <f>+B84</f>
        <v>0</v>
      </c>
      <c r="C85" s="796" t="s">
        <v>19</v>
      </c>
      <c r="D85" s="331">
        <f>+D84</f>
        <v>0</v>
      </c>
      <c r="E85" s="329">
        <f>+E84</f>
        <v>0</v>
      </c>
      <c r="F85" s="460">
        <f>+F84</f>
        <v>0</v>
      </c>
      <c r="G85" s="309">
        <f>+G84</f>
        <v>0</v>
      </c>
    </row>
    <row r="86" spans="1:10">
      <c r="A86" s="788" t="s">
        <v>1342</v>
      </c>
      <c r="B86" s="473"/>
      <c r="C86" s="794"/>
      <c r="D86" s="457"/>
      <c r="E86" s="473"/>
      <c r="F86" s="456"/>
      <c r="G86" s="842"/>
    </row>
    <row r="87" spans="1:10" ht="12.75" thickBot="1">
      <c r="A87" s="789" t="s">
        <v>19</v>
      </c>
      <c r="B87" s="290"/>
      <c r="C87" s="795"/>
      <c r="D87" s="319"/>
      <c r="E87" s="290"/>
      <c r="F87" s="455"/>
      <c r="G87" s="843">
        <f>+B87-D87-E87</f>
        <v>0</v>
      </c>
    </row>
    <row r="88" spans="1:10" ht="12.75" thickBot="1">
      <c r="A88" s="790" t="s">
        <v>1343</v>
      </c>
      <c r="B88" s="329">
        <f>+B87</f>
        <v>0</v>
      </c>
      <c r="C88" s="796" t="s">
        <v>19</v>
      </c>
      <c r="D88" s="331">
        <f>+D87</f>
        <v>0</v>
      </c>
      <c r="E88" s="329">
        <f>+E87</f>
        <v>0</v>
      </c>
      <c r="F88" s="460">
        <f>+F87</f>
        <v>0</v>
      </c>
      <c r="G88" s="309">
        <f>+G87</f>
        <v>0</v>
      </c>
    </row>
    <row r="89" spans="1:10">
      <c r="A89" s="791" t="s">
        <v>967</v>
      </c>
      <c r="B89" s="474"/>
      <c r="C89" s="797"/>
      <c r="D89" s="461"/>
      <c r="E89" s="474"/>
      <c r="F89" s="462"/>
      <c r="G89" s="844"/>
    </row>
    <row r="90" spans="1:10" ht="12.75" thickBot="1">
      <c r="A90" s="789" t="s">
        <v>19</v>
      </c>
      <c r="B90" s="290"/>
      <c r="C90" s="795"/>
      <c r="D90" s="319"/>
      <c r="E90" s="290"/>
      <c r="F90" s="455"/>
      <c r="G90" s="843">
        <f>+B90-D90-E90</f>
        <v>0</v>
      </c>
    </row>
    <row r="91" spans="1:10" ht="12.75" thickBot="1">
      <c r="A91" s="790" t="s">
        <v>968</v>
      </c>
      <c r="B91" s="329">
        <f>+B90</f>
        <v>0</v>
      </c>
      <c r="C91" s="796" t="s">
        <v>19</v>
      </c>
      <c r="D91" s="331">
        <f>+D90</f>
        <v>0</v>
      </c>
      <c r="E91" s="329">
        <f>+E90</f>
        <v>0</v>
      </c>
      <c r="F91" s="460">
        <f>+F90</f>
        <v>0</v>
      </c>
      <c r="G91" s="309">
        <f>+G90</f>
        <v>0</v>
      </c>
      <c r="I91" s="656">
        <f>+'1.mell._Össz_Mérleg2019'!C170</f>
        <v>0</v>
      </c>
      <c r="J91" s="656">
        <f>+E91-I91</f>
        <v>0</v>
      </c>
    </row>
    <row r="92" spans="1:10" ht="12.75" thickBot="1">
      <c r="A92" s="792"/>
      <c r="B92" s="475"/>
      <c r="C92" s="798"/>
      <c r="D92" s="463"/>
      <c r="E92" s="475"/>
      <c r="F92" s="464"/>
      <c r="G92" s="845"/>
    </row>
    <row r="93" spans="1:10" ht="12.75" thickBot="1">
      <c r="A93" s="793" t="s">
        <v>628</v>
      </c>
      <c r="B93" s="476">
        <f>+B73+B76+B79+B82+B85+B88+B91</f>
        <v>0</v>
      </c>
      <c r="C93" s="796" t="s">
        <v>19</v>
      </c>
      <c r="D93" s="465">
        <f t="shared" ref="D93:G93" si="17">+D73+D76+D79+D82+D85+D88+D91</f>
        <v>0</v>
      </c>
      <c r="E93" s="476">
        <f t="shared" si="17"/>
        <v>0</v>
      </c>
      <c r="F93" s="466">
        <f t="shared" si="17"/>
        <v>0</v>
      </c>
      <c r="G93" s="846">
        <f t="shared" si="17"/>
        <v>0</v>
      </c>
      <c r="I93" s="656">
        <f>+'1.mell._Össz_Mérleg2019'!C165</f>
        <v>0</v>
      </c>
      <c r="J93" s="656">
        <f>+E93-I93</f>
        <v>0</v>
      </c>
    </row>
  </sheetData>
  <mergeCells count="3">
    <mergeCell ref="A4:G4"/>
    <mergeCell ref="F5:G5"/>
    <mergeCell ref="A3:G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5">
    <tabColor rgb="FF00B0F0"/>
    <pageSetUpPr fitToPage="1"/>
  </sheetPr>
  <dimension ref="A1:H34"/>
  <sheetViews>
    <sheetView zoomScaleNormal="100" workbookViewId="0"/>
  </sheetViews>
  <sheetFormatPr defaultRowHeight="12"/>
  <cols>
    <col min="1" max="1" width="4.85546875" style="655" bestFit="1" customWidth="1"/>
    <col min="2" max="2" width="57.5703125" style="174" bestFit="1" customWidth="1"/>
    <col min="3" max="3" width="30.85546875" style="174" bestFit="1" customWidth="1"/>
    <col min="4" max="4" width="13.140625" style="174" bestFit="1" customWidth="1"/>
    <col min="5" max="5" width="9.140625" style="174"/>
    <col min="6" max="7" width="0" style="174" hidden="1" customWidth="1"/>
    <col min="8" max="16384" width="9.140625" style="174"/>
  </cols>
  <sheetData>
    <row r="1" spans="1:8" s="175" customFormat="1" ht="15.75">
      <c r="A1" s="484"/>
      <c r="B1" s="168"/>
      <c r="C1" s="168"/>
      <c r="D1" s="179" t="s">
        <v>789</v>
      </c>
    </row>
    <row r="2" spans="1:8" s="175" customFormat="1" ht="15.75">
      <c r="A2" s="484"/>
      <c r="B2" s="168"/>
      <c r="C2" s="168"/>
      <c r="D2" s="179"/>
    </row>
    <row r="3" spans="1:8" s="175" customFormat="1" ht="15.75" customHeight="1">
      <c r="A3" s="1504" t="s">
        <v>354</v>
      </c>
      <c r="B3" s="1504"/>
      <c r="C3" s="1504"/>
      <c r="D3" s="1504"/>
      <c r="E3" s="469"/>
      <c r="F3" s="469"/>
      <c r="G3" s="469"/>
    </row>
    <row r="4" spans="1:8" s="176" customFormat="1" ht="15.75">
      <c r="A4" s="1506" t="s">
        <v>1344</v>
      </c>
      <c r="B4" s="1506"/>
      <c r="C4" s="1506"/>
      <c r="D4" s="1506"/>
    </row>
    <row r="5" spans="1:8" ht="12.75" thickBot="1">
      <c r="A5" s="487"/>
      <c r="B5" s="487"/>
      <c r="C5" s="487"/>
      <c r="D5" s="372" t="s">
        <v>458</v>
      </c>
    </row>
    <row r="6" spans="1:8" ht="24.75" thickBot="1">
      <c r="A6" s="488" t="s">
        <v>8</v>
      </c>
      <c r="B6" s="497" t="s">
        <v>630</v>
      </c>
      <c r="C6" s="491" t="s">
        <v>631</v>
      </c>
      <c r="D6" s="188" t="s">
        <v>1317</v>
      </c>
    </row>
    <row r="7" spans="1:8" s="654" customFormat="1">
      <c r="A7" s="490"/>
      <c r="B7" s="498" t="s">
        <v>0</v>
      </c>
      <c r="C7" s="496"/>
      <c r="D7" s="1315"/>
    </row>
    <row r="8" spans="1:8">
      <c r="A8" s="483" t="s">
        <v>4</v>
      </c>
      <c r="B8" s="499" t="s">
        <v>632</v>
      </c>
      <c r="C8" s="486" t="s">
        <v>633</v>
      </c>
      <c r="D8" s="1316">
        <f>1000-500</f>
        <v>500</v>
      </c>
    </row>
    <row r="9" spans="1:8" ht="12.75" thickBot="1">
      <c r="A9" s="494" t="s">
        <v>5</v>
      </c>
      <c r="B9" s="500" t="s">
        <v>1079</v>
      </c>
      <c r="C9" s="486" t="s">
        <v>633</v>
      </c>
      <c r="D9" s="1317">
        <f>+ROUND(67.5*10744*12/1000,0)</f>
        <v>8703</v>
      </c>
    </row>
    <row r="10" spans="1:8" s="177" customFormat="1" ht="12.75" thickBot="1">
      <c r="A10" s="502" t="s">
        <v>23</v>
      </c>
      <c r="B10" s="505" t="s">
        <v>637</v>
      </c>
      <c r="C10" s="489"/>
      <c r="D10" s="208">
        <f>SUM(D8:D9)</f>
        <v>9203</v>
      </c>
      <c r="F10" s="656">
        <f>+'1.mell._Össz_Mérleg2019'!C138</f>
        <v>9203</v>
      </c>
      <c r="G10" s="656">
        <f>+D10-F10</f>
        <v>0</v>
      </c>
      <c r="H10" s="174"/>
    </row>
    <row r="11" spans="1:8" s="177" customFormat="1">
      <c r="A11" s="503"/>
      <c r="B11" s="506"/>
      <c r="C11" s="492"/>
      <c r="D11" s="194"/>
      <c r="F11" s="174"/>
      <c r="G11" s="174"/>
      <c r="H11" s="174"/>
    </row>
    <row r="12" spans="1:8">
      <c r="A12" s="508"/>
      <c r="B12" s="509" t="s">
        <v>1</v>
      </c>
      <c r="C12" s="510"/>
      <c r="D12" s="511"/>
    </row>
    <row r="13" spans="1:8">
      <c r="A13" s="483" t="s">
        <v>4</v>
      </c>
      <c r="B13" s="499" t="s">
        <v>634</v>
      </c>
      <c r="C13" s="486" t="s">
        <v>633</v>
      </c>
      <c r="D13" s="1316">
        <f>3850+1150</f>
        <v>5000</v>
      </c>
    </row>
    <row r="14" spans="1:8">
      <c r="A14" s="483" t="s">
        <v>5</v>
      </c>
      <c r="B14" s="499" t="s">
        <v>635</v>
      </c>
      <c r="C14" s="486" t="s">
        <v>633</v>
      </c>
      <c r="D14" s="1316">
        <f>10450+200</f>
        <v>10650</v>
      </c>
    </row>
    <row r="15" spans="1:8">
      <c r="A15" s="483" t="s">
        <v>6</v>
      </c>
      <c r="B15" s="501" t="s">
        <v>1188</v>
      </c>
      <c r="C15" s="486" t="s">
        <v>633</v>
      </c>
      <c r="D15" s="1316">
        <v>350</v>
      </c>
    </row>
    <row r="16" spans="1:8">
      <c r="A16" s="483" t="s">
        <v>3</v>
      </c>
      <c r="B16" s="1001" t="s">
        <v>1474</v>
      </c>
      <c r="C16" s="486" t="s">
        <v>1475</v>
      </c>
      <c r="D16" s="1316">
        <f>1650-1650</f>
        <v>0</v>
      </c>
    </row>
    <row r="17" spans="1:8">
      <c r="A17" s="483" t="s">
        <v>16</v>
      </c>
      <c r="B17" s="499" t="s">
        <v>993</v>
      </c>
      <c r="C17" s="486" t="s">
        <v>633</v>
      </c>
      <c r="D17" s="1316">
        <f>15000+10000</f>
        <v>25000</v>
      </c>
    </row>
    <row r="18" spans="1:8">
      <c r="A18" s="483" t="s">
        <v>15</v>
      </c>
      <c r="B18" s="499" t="s">
        <v>1080</v>
      </c>
      <c r="C18" s="486" t="s">
        <v>633</v>
      </c>
      <c r="D18" s="1316">
        <f>11000-3000</f>
        <v>8000</v>
      </c>
    </row>
    <row r="19" spans="1:8">
      <c r="A19" s="483" t="s">
        <v>14</v>
      </c>
      <c r="B19" s="499" t="s">
        <v>1193</v>
      </c>
      <c r="C19" s="486" t="s">
        <v>633</v>
      </c>
      <c r="D19" s="1316">
        <v>400</v>
      </c>
    </row>
    <row r="20" spans="1:8">
      <c r="A20" s="483" t="s">
        <v>13</v>
      </c>
      <c r="B20" s="499" t="s">
        <v>1191</v>
      </c>
      <c r="C20" s="486" t="s">
        <v>1192</v>
      </c>
      <c r="D20" s="1316">
        <v>200</v>
      </c>
    </row>
    <row r="21" spans="1:8">
      <c r="A21" s="483" t="s">
        <v>12</v>
      </c>
      <c r="B21" s="499" t="s">
        <v>1255</v>
      </c>
      <c r="C21" s="486" t="s">
        <v>633</v>
      </c>
      <c r="D21" s="1316">
        <v>300</v>
      </c>
    </row>
    <row r="22" spans="1:8">
      <c r="A22" s="483" t="s">
        <v>11</v>
      </c>
      <c r="B22" s="499" t="s">
        <v>1476</v>
      </c>
      <c r="C22" s="486" t="s">
        <v>633</v>
      </c>
      <c r="D22" s="1316">
        <v>500</v>
      </c>
    </row>
    <row r="23" spans="1:8" ht="12.75" thickBot="1">
      <c r="A23" s="483" t="s">
        <v>10</v>
      </c>
      <c r="B23" s="499" t="s">
        <v>1536</v>
      </c>
      <c r="C23" s="486" t="s">
        <v>633</v>
      </c>
      <c r="D23" s="1316">
        <f>0+300</f>
        <v>300</v>
      </c>
    </row>
    <row r="24" spans="1:8" ht="12.75" thickBot="1">
      <c r="A24" s="504" t="s">
        <v>22</v>
      </c>
      <c r="B24" s="505" t="s">
        <v>636</v>
      </c>
      <c r="C24" s="489"/>
      <c r="D24" s="208">
        <f>SUM(D13:D23)</f>
        <v>50700</v>
      </c>
      <c r="F24" s="656">
        <f>+'1.mell._Össz_Mérleg2019'!C145</f>
        <v>50700</v>
      </c>
      <c r="G24" s="656">
        <f>+D24-F24</f>
        <v>0</v>
      </c>
    </row>
    <row r="25" spans="1:8" s="177" customFormat="1">
      <c r="A25" s="503"/>
      <c r="B25" s="506"/>
      <c r="C25" s="492"/>
      <c r="D25" s="194"/>
      <c r="F25" s="174"/>
      <c r="G25" s="174"/>
      <c r="H25" s="174"/>
    </row>
    <row r="26" spans="1:8">
      <c r="A26" s="490"/>
      <c r="B26" s="498" t="s">
        <v>2</v>
      </c>
      <c r="C26" s="493"/>
      <c r="D26" s="1318"/>
    </row>
    <row r="27" spans="1:8" ht="12.75" thickBot="1">
      <c r="A27" s="906" t="s">
        <v>4</v>
      </c>
      <c r="B27" s="907" t="s">
        <v>19</v>
      </c>
      <c r="C27" s="486"/>
      <c r="D27" s="1316"/>
    </row>
    <row r="28" spans="1:8" ht="12.75" thickBot="1">
      <c r="A28" s="502" t="s">
        <v>21</v>
      </c>
      <c r="B28" s="505" t="s">
        <v>638</v>
      </c>
      <c r="C28" s="489"/>
      <c r="D28" s="208">
        <f>SUM(D27)</f>
        <v>0</v>
      </c>
      <c r="F28" s="656">
        <f>+'1.mell._Össz_Mérleg2019'!C169</f>
        <v>0</v>
      </c>
      <c r="G28" s="656">
        <f>+D28-F28</f>
        <v>0</v>
      </c>
    </row>
    <row r="29" spans="1:8">
      <c r="A29" s="512"/>
      <c r="B29" s="506"/>
      <c r="C29" s="492"/>
      <c r="D29" s="194"/>
    </row>
    <row r="30" spans="1:8">
      <c r="A30" s="508"/>
      <c r="B30" s="509" t="s">
        <v>639</v>
      </c>
      <c r="C30" s="510"/>
      <c r="D30" s="511"/>
    </row>
    <row r="31" spans="1:8" ht="12.75" thickBot="1">
      <c r="A31" s="495" t="s">
        <v>4</v>
      </c>
      <c r="B31" s="485" t="s">
        <v>19</v>
      </c>
      <c r="C31" s="507"/>
      <c r="D31" s="1319"/>
    </row>
    <row r="32" spans="1:8" ht="12.75" thickBot="1">
      <c r="A32" s="504" t="s">
        <v>20</v>
      </c>
      <c r="B32" s="505" t="s">
        <v>640</v>
      </c>
      <c r="C32" s="489"/>
      <c r="D32" s="208">
        <f>SUM(D31)</f>
        <v>0</v>
      </c>
      <c r="F32" s="656">
        <f>+'1.mell._Össz_Mérleg2019'!C175</f>
        <v>0</v>
      </c>
      <c r="G32" s="656">
        <f>+D32-F32</f>
        <v>0</v>
      </c>
    </row>
    <row r="34" spans="1:1">
      <c r="A34" s="947" t="s">
        <v>1194</v>
      </c>
    </row>
  </sheetData>
  <mergeCells count="2">
    <mergeCell ref="A4:D4"/>
    <mergeCell ref="A3:D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6">
    <tabColor rgb="FF00B0F0"/>
  </sheetPr>
  <dimension ref="A1:Y325"/>
  <sheetViews>
    <sheetView zoomScaleNormal="100" workbookViewId="0"/>
  </sheetViews>
  <sheetFormatPr defaultColWidth="10.5703125" defaultRowHeight="12"/>
  <cols>
    <col min="1" max="1" width="5.42578125" style="589" bestFit="1" customWidth="1"/>
    <col min="2" max="2" width="3.7109375" style="881" hidden="1" customWidth="1"/>
    <col min="3" max="3" width="7.85546875" style="986" customWidth="1"/>
    <col min="4" max="4" width="78.42578125" style="520" customWidth="1"/>
    <col min="5" max="5" width="10.5703125" style="981" customWidth="1"/>
    <col min="6" max="6" width="65.28515625" style="306" customWidth="1"/>
    <col min="7" max="7" width="10.85546875" style="521" customWidth="1"/>
    <col min="8" max="8" width="10.85546875" style="522" customWidth="1"/>
    <col min="9" max="9" width="10.85546875" style="306" customWidth="1"/>
    <col min="10" max="10" width="11.42578125" style="306" customWidth="1"/>
    <col min="11" max="11" width="10.85546875" style="306" customWidth="1"/>
    <col min="12" max="12" width="11.28515625" style="306" customWidth="1"/>
    <col min="13" max="13" width="10.85546875" style="521" customWidth="1"/>
    <col min="14" max="15" width="10.85546875" style="306" customWidth="1"/>
    <col min="16" max="16" width="11.28515625" style="306" customWidth="1"/>
    <col min="17" max="18" width="10.85546875" style="306" customWidth="1"/>
    <col min="19" max="16384" width="10.5703125" style="306"/>
  </cols>
  <sheetData>
    <row r="1" spans="1:18" s="304" customFormat="1" ht="15.75">
      <c r="A1" s="588"/>
      <c r="B1" s="880"/>
      <c r="C1" s="985"/>
      <c r="D1" s="581"/>
      <c r="E1" s="980"/>
      <c r="G1" s="514"/>
      <c r="H1" s="582"/>
      <c r="M1" s="514"/>
      <c r="Q1" s="179" t="s">
        <v>751</v>
      </c>
      <c r="R1" s="179"/>
    </row>
    <row r="2" spans="1:18" s="304" customFormat="1" ht="15.75">
      <c r="A2" s="588"/>
      <c r="B2" s="880"/>
      <c r="C2" s="985"/>
      <c r="D2" s="581"/>
      <c r="E2" s="980"/>
      <c r="G2" s="514"/>
      <c r="H2" s="582"/>
      <c r="L2" s="515"/>
      <c r="M2" s="514"/>
      <c r="P2" s="515"/>
      <c r="Q2" s="515"/>
      <c r="R2" s="515"/>
    </row>
    <row r="3" spans="1:18" s="304" customFormat="1" ht="15.75">
      <c r="A3" s="1405" t="s">
        <v>777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003"/>
    </row>
    <row r="4" spans="1:18" ht="12.75" thickBot="1">
      <c r="L4" s="234"/>
      <c r="P4" s="234" t="s">
        <v>458</v>
      </c>
      <c r="Q4" s="523"/>
      <c r="R4" s="523"/>
    </row>
    <row r="5" spans="1:18" s="525" customFormat="1" ht="12.75" thickBot="1">
      <c r="A5" s="1406" t="s">
        <v>17</v>
      </c>
      <c r="B5" s="1515" t="s">
        <v>1056</v>
      </c>
      <c r="C5" s="1511" t="s">
        <v>770</v>
      </c>
      <c r="D5" s="1513" t="s">
        <v>769</v>
      </c>
      <c r="E5" s="1509" t="s">
        <v>753</v>
      </c>
      <c r="F5" s="1507" t="s">
        <v>752</v>
      </c>
      <c r="G5" s="1397" t="s">
        <v>1317</v>
      </c>
      <c r="H5" s="1397" t="s">
        <v>1345</v>
      </c>
      <c r="I5" s="1401" t="s">
        <v>754</v>
      </c>
      <c r="J5" s="1402"/>
      <c r="K5" s="1402"/>
      <c r="L5" s="1404"/>
      <c r="M5" s="1397" t="s">
        <v>1346</v>
      </c>
      <c r="N5" s="1403" t="s">
        <v>754</v>
      </c>
      <c r="O5" s="1402"/>
      <c r="P5" s="1404"/>
      <c r="Q5" s="524"/>
      <c r="R5" s="524"/>
    </row>
    <row r="6" spans="1:18" s="525" customFormat="1" ht="60.75" thickBot="1">
      <c r="A6" s="1408"/>
      <c r="B6" s="1516"/>
      <c r="C6" s="1512"/>
      <c r="D6" s="1514"/>
      <c r="E6" s="1510"/>
      <c r="F6" s="1508"/>
      <c r="G6" s="1398"/>
      <c r="H6" s="1398"/>
      <c r="I6" s="303" t="s">
        <v>771</v>
      </c>
      <c r="J6" s="376" t="s">
        <v>526</v>
      </c>
      <c r="K6" s="376" t="s">
        <v>772</v>
      </c>
      <c r="L6" s="375" t="s">
        <v>773</v>
      </c>
      <c r="M6" s="1398"/>
      <c r="N6" s="303" t="s">
        <v>533</v>
      </c>
      <c r="O6" s="376" t="s">
        <v>534</v>
      </c>
      <c r="P6" s="375" t="s">
        <v>535</v>
      </c>
      <c r="Q6" s="526"/>
      <c r="R6" s="526"/>
    </row>
    <row r="7" spans="1:18" s="525" customFormat="1">
      <c r="A7" s="590">
        <v>1</v>
      </c>
      <c r="B7" s="882">
        <v>1</v>
      </c>
      <c r="C7" s="1335" t="s">
        <v>676</v>
      </c>
      <c r="D7" s="1018" t="s">
        <v>675</v>
      </c>
      <c r="E7" s="1336">
        <v>999000</v>
      </c>
      <c r="F7" s="1019" t="s">
        <v>415</v>
      </c>
      <c r="G7" s="518">
        <f t="shared" ref="G7:G79" si="0">+H7+M7</f>
        <v>0</v>
      </c>
      <c r="H7" s="519">
        <f t="shared" ref="H7:H79" si="1">+I7+J7+K7+L7</f>
        <v>0</v>
      </c>
      <c r="I7" s="1320"/>
      <c r="J7" s="1321"/>
      <c r="K7" s="1321"/>
      <c r="L7" s="1322"/>
      <c r="M7" s="519">
        <f>+N7+O7+P7</f>
        <v>0</v>
      </c>
      <c r="N7" s="1320"/>
      <c r="O7" s="1321"/>
      <c r="P7" s="1322"/>
      <c r="Q7" s="523"/>
      <c r="R7" s="523"/>
    </row>
    <row r="8" spans="1:18" s="525" customFormat="1">
      <c r="A8" s="590">
        <f>+A7+1</f>
        <v>2</v>
      </c>
      <c r="B8" s="883">
        <v>8</v>
      </c>
      <c r="C8" s="1337" t="s">
        <v>676</v>
      </c>
      <c r="D8" s="1022" t="s">
        <v>675</v>
      </c>
      <c r="E8" s="1338" t="s">
        <v>1265</v>
      </c>
      <c r="F8" s="1024" t="s">
        <v>1010</v>
      </c>
      <c r="G8" s="518">
        <f t="shared" si="0"/>
        <v>53253</v>
      </c>
      <c r="H8" s="519">
        <f t="shared" si="1"/>
        <v>53253</v>
      </c>
      <c r="I8" s="1320">
        <v>34354</v>
      </c>
      <c r="J8" s="1321"/>
      <c r="K8" s="1321">
        <v>13099</v>
      </c>
      <c r="L8" s="1322">
        <v>5800</v>
      </c>
      <c r="M8" s="519">
        <f t="shared" ref="M8:M79" si="2">+N8+O8+P8</f>
        <v>0</v>
      </c>
      <c r="N8" s="1320"/>
      <c r="O8" s="1321"/>
      <c r="P8" s="1322"/>
      <c r="Q8" s="523"/>
      <c r="R8" s="523"/>
    </row>
    <row r="9" spans="1:18" s="525" customFormat="1">
      <c r="A9" s="590">
        <f t="shared" ref="A9:A86" si="3">+A8+1</f>
        <v>3</v>
      </c>
      <c r="B9" s="883">
        <v>7</v>
      </c>
      <c r="C9" s="1337" t="s">
        <v>1289</v>
      </c>
      <c r="D9" s="1022" t="s">
        <v>1301</v>
      </c>
      <c r="E9" s="1338" t="s">
        <v>1265</v>
      </c>
      <c r="F9" s="1024" t="s">
        <v>1290</v>
      </c>
      <c r="G9" s="518">
        <f t="shared" si="0"/>
        <v>0</v>
      </c>
      <c r="H9" s="519">
        <f t="shared" si="1"/>
        <v>0</v>
      </c>
      <c r="I9" s="1320"/>
      <c r="J9" s="1321"/>
      <c r="K9" s="1321"/>
      <c r="L9" s="1322"/>
      <c r="M9" s="519">
        <f t="shared" si="2"/>
        <v>0</v>
      </c>
      <c r="N9" s="1320"/>
      <c r="O9" s="1321"/>
      <c r="P9" s="1322"/>
      <c r="Q9" s="523"/>
      <c r="R9" s="523"/>
    </row>
    <row r="10" spans="1:18" s="529" customFormat="1">
      <c r="A10" s="590">
        <f t="shared" si="3"/>
        <v>4</v>
      </c>
      <c r="B10" s="883">
        <v>8</v>
      </c>
      <c r="C10" s="1337" t="s">
        <v>684</v>
      </c>
      <c r="D10" s="1022" t="s">
        <v>868</v>
      </c>
      <c r="E10" s="1338" t="s">
        <v>1265</v>
      </c>
      <c r="F10" s="1024" t="s">
        <v>683</v>
      </c>
      <c r="G10" s="527">
        <f t="shared" si="0"/>
        <v>0</v>
      </c>
      <c r="H10" s="528">
        <f t="shared" si="1"/>
        <v>0</v>
      </c>
      <c r="I10" s="1320"/>
      <c r="J10" s="1321"/>
      <c r="K10" s="1321"/>
      <c r="L10" s="1322"/>
      <c r="M10" s="528">
        <f t="shared" si="2"/>
        <v>0</v>
      </c>
      <c r="N10" s="1320"/>
      <c r="O10" s="1321"/>
      <c r="P10" s="1322"/>
      <c r="Q10" s="523"/>
      <c r="R10" s="523"/>
    </row>
    <row r="11" spans="1:18" s="525" customFormat="1">
      <c r="A11" s="590">
        <f t="shared" si="3"/>
        <v>5</v>
      </c>
      <c r="B11" s="883">
        <v>8</v>
      </c>
      <c r="C11" s="1337" t="s">
        <v>678</v>
      </c>
      <c r="D11" s="1022" t="s">
        <v>677</v>
      </c>
      <c r="E11" s="1339" t="s">
        <v>1265</v>
      </c>
      <c r="F11" s="1024" t="s">
        <v>643</v>
      </c>
      <c r="G11" s="530">
        <f>+H11+M11</f>
        <v>370980</v>
      </c>
      <c r="H11" s="531">
        <f>+I11+J11+K11+L11</f>
        <v>370980</v>
      </c>
      <c r="I11" s="1320"/>
      <c r="J11" s="1321">
        <v>370980</v>
      </c>
      <c r="K11" s="1321"/>
      <c r="L11" s="1322"/>
      <c r="M11" s="531">
        <f>+N11+O11+P11</f>
        <v>0</v>
      </c>
      <c r="N11" s="1320"/>
      <c r="O11" s="1321"/>
      <c r="P11" s="1322"/>
      <c r="Q11" s="523"/>
      <c r="R11" s="523"/>
    </row>
    <row r="12" spans="1:18" ht="12.75" customHeight="1">
      <c r="A12" s="590">
        <f t="shared" si="3"/>
        <v>6</v>
      </c>
      <c r="B12" s="883">
        <v>2</v>
      </c>
      <c r="C12" s="1337" t="s">
        <v>729</v>
      </c>
      <c r="D12" s="583" t="s">
        <v>728</v>
      </c>
      <c r="E12" s="1338" t="s">
        <v>1266</v>
      </c>
      <c r="F12" s="1026" t="s">
        <v>728</v>
      </c>
      <c r="G12" s="518">
        <f t="shared" si="0"/>
        <v>1500</v>
      </c>
      <c r="H12" s="519">
        <f t="shared" si="1"/>
        <v>1500</v>
      </c>
      <c r="I12" s="1320"/>
      <c r="J12" s="1321"/>
      <c r="K12" s="1321">
        <v>1500</v>
      </c>
      <c r="L12" s="1322"/>
      <c r="M12" s="519">
        <f t="shared" si="2"/>
        <v>0</v>
      </c>
      <c r="N12" s="1320"/>
      <c r="O12" s="1321"/>
      <c r="P12" s="1322"/>
      <c r="Q12" s="523"/>
      <c r="R12" s="523"/>
    </row>
    <row r="13" spans="1:18" ht="12.75" customHeight="1">
      <c r="A13" s="590">
        <f t="shared" si="3"/>
        <v>7</v>
      </c>
      <c r="B13" s="883">
        <v>8</v>
      </c>
      <c r="C13" s="1337" t="s">
        <v>713</v>
      </c>
      <c r="D13" s="1022" t="s">
        <v>1071</v>
      </c>
      <c r="E13" s="1339" t="s">
        <v>1267</v>
      </c>
      <c r="F13" s="1027" t="s">
        <v>1073</v>
      </c>
      <c r="G13" s="530">
        <f t="shared" si="0"/>
        <v>350</v>
      </c>
      <c r="H13" s="531">
        <f t="shared" si="1"/>
        <v>0</v>
      </c>
      <c r="I13" s="1320"/>
      <c r="J13" s="1321"/>
      <c r="K13" s="1321"/>
      <c r="L13" s="1322"/>
      <c r="M13" s="531">
        <f t="shared" si="2"/>
        <v>350</v>
      </c>
      <c r="N13" s="1320"/>
      <c r="O13" s="1321">
        <v>350</v>
      </c>
      <c r="P13" s="1322"/>
      <c r="Q13" s="523"/>
      <c r="R13" s="523"/>
    </row>
    <row r="14" spans="1:18" s="536" customFormat="1" ht="12.75" customHeight="1">
      <c r="A14" s="590">
        <f t="shared" si="3"/>
        <v>8</v>
      </c>
      <c r="B14" s="883">
        <v>8</v>
      </c>
      <c r="C14" s="1337" t="s">
        <v>713</v>
      </c>
      <c r="D14" s="1028" t="s">
        <v>1071</v>
      </c>
      <c r="E14" s="1339" t="s">
        <v>1268</v>
      </c>
      <c r="F14" s="1029" t="s">
        <v>659</v>
      </c>
      <c r="G14" s="530">
        <f t="shared" si="0"/>
        <v>28907</v>
      </c>
      <c r="H14" s="531">
        <f t="shared" si="1"/>
        <v>28907</v>
      </c>
      <c r="I14" s="1320"/>
      <c r="J14" s="1321"/>
      <c r="K14" s="1321">
        <v>28907</v>
      </c>
      <c r="L14" s="1322"/>
      <c r="M14" s="531">
        <f t="shared" si="2"/>
        <v>0</v>
      </c>
      <c r="N14" s="1320"/>
      <c r="O14" s="1321"/>
      <c r="P14" s="1322"/>
      <c r="Q14" s="523"/>
      <c r="R14" s="523"/>
    </row>
    <row r="15" spans="1:18">
      <c r="A15" s="590">
        <f t="shared" si="3"/>
        <v>9</v>
      </c>
      <c r="B15" s="883">
        <v>8</v>
      </c>
      <c r="C15" s="1337" t="s">
        <v>710</v>
      </c>
      <c r="D15" s="1022" t="s">
        <v>709</v>
      </c>
      <c r="E15" s="1339" t="s">
        <v>1269</v>
      </c>
      <c r="F15" s="1027" t="s">
        <v>785</v>
      </c>
      <c r="G15" s="530">
        <f t="shared" si="0"/>
        <v>0</v>
      </c>
      <c r="H15" s="531">
        <f t="shared" si="1"/>
        <v>0</v>
      </c>
      <c r="I15" s="1320"/>
      <c r="J15" s="1321"/>
      <c r="K15" s="1321"/>
      <c r="L15" s="1322"/>
      <c r="M15" s="531">
        <f t="shared" si="2"/>
        <v>0</v>
      </c>
      <c r="N15" s="1320"/>
      <c r="O15" s="1321"/>
      <c r="P15" s="1322"/>
      <c r="Q15" s="523"/>
      <c r="R15" s="523"/>
    </row>
    <row r="16" spans="1:18">
      <c r="A16" s="590">
        <f t="shared" si="3"/>
        <v>10</v>
      </c>
      <c r="B16" s="883">
        <v>8</v>
      </c>
      <c r="C16" s="1337" t="s">
        <v>1014</v>
      </c>
      <c r="D16" s="1022" t="s">
        <v>1015</v>
      </c>
      <c r="E16" s="1339" t="s">
        <v>1265</v>
      </c>
      <c r="F16" s="1027" t="s">
        <v>1016</v>
      </c>
      <c r="G16" s="530">
        <f t="shared" si="0"/>
        <v>0</v>
      </c>
      <c r="H16" s="531">
        <f t="shared" si="1"/>
        <v>0</v>
      </c>
      <c r="I16" s="1320"/>
      <c r="J16" s="1321"/>
      <c r="K16" s="1321"/>
      <c r="L16" s="1322"/>
      <c r="M16" s="531">
        <f t="shared" si="2"/>
        <v>0</v>
      </c>
      <c r="N16" s="1320"/>
      <c r="O16" s="1321"/>
      <c r="P16" s="1322"/>
      <c r="Q16" s="523"/>
      <c r="R16" s="523"/>
    </row>
    <row r="17" spans="1:18">
      <c r="A17" s="590">
        <f t="shared" si="3"/>
        <v>11</v>
      </c>
      <c r="B17" s="883">
        <v>8</v>
      </c>
      <c r="C17" s="1337" t="s">
        <v>734</v>
      </c>
      <c r="D17" s="1022" t="s">
        <v>732</v>
      </c>
      <c r="E17" s="1339" t="s">
        <v>1265</v>
      </c>
      <c r="F17" s="1027" t="s">
        <v>730</v>
      </c>
      <c r="G17" s="530">
        <f t="shared" si="0"/>
        <v>888836</v>
      </c>
      <c r="H17" s="531">
        <f t="shared" si="1"/>
        <v>888836</v>
      </c>
      <c r="I17" s="1320">
        <v>888836</v>
      </c>
      <c r="J17" s="1321"/>
      <c r="K17" s="1321"/>
      <c r="L17" s="1322"/>
      <c r="M17" s="531">
        <f t="shared" si="2"/>
        <v>0</v>
      </c>
      <c r="N17" s="1320"/>
      <c r="O17" s="1321"/>
      <c r="P17" s="1322"/>
      <c r="Q17" s="523"/>
      <c r="R17" s="523"/>
    </row>
    <row r="18" spans="1:18">
      <c r="A18" s="590">
        <f t="shared" si="3"/>
        <v>12</v>
      </c>
      <c r="B18" s="883">
        <v>8</v>
      </c>
      <c r="C18" s="1337" t="s">
        <v>731</v>
      </c>
      <c r="D18" s="1022" t="s">
        <v>733</v>
      </c>
      <c r="E18" s="1339" t="s">
        <v>1265</v>
      </c>
      <c r="F18" s="1027" t="s">
        <v>660</v>
      </c>
      <c r="G18" s="530">
        <f t="shared" si="0"/>
        <v>0</v>
      </c>
      <c r="H18" s="531">
        <f t="shared" si="1"/>
        <v>0</v>
      </c>
      <c r="I18" s="1320"/>
      <c r="J18" s="1321"/>
      <c r="K18" s="1321"/>
      <c r="L18" s="1322"/>
      <c r="M18" s="531">
        <f t="shared" si="2"/>
        <v>0</v>
      </c>
      <c r="N18" s="1320"/>
      <c r="O18" s="1321"/>
      <c r="P18" s="1322"/>
      <c r="Q18" s="523"/>
      <c r="R18" s="523"/>
    </row>
    <row r="19" spans="1:18">
      <c r="A19" s="590">
        <f t="shared" si="3"/>
        <v>13</v>
      </c>
      <c r="B19" s="883">
        <v>8</v>
      </c>
      <c r="C19" s="1337" t="s">
        <v>1017</v>
      </c>
      <c r="D19" s="1022" t="s">
        <v>1018</v>
      </c>
      <c r="E19" s="1339" t="s">
        <v>1265</v>
      </c>
      <c r="F19" s="1027" t="s">
        <v>1010</v>
      </c>
      <c r="G19" s="530">
        <f t="shared" si="0"/>
        <v>3090</v>
      </c>
      <c r="H19" s="531">
        <f t="shared" si="1"/>
        <v>3090</v>
      </c>
      <c r="I19" s="1320">
        <v>3090</v>
      </c>
      <c r="J19" s="1321"/>
      <c r="K19" s="1321"/>
      <c r="L19" s="1322"/>
      <c r="M19" s="531">
        <f t="shared" si="2"/>
        <v>0</v>
      </c>
      <c r="N19" s="1320"/>
      <c r="O19" s="1321"/>
      <c r="P19" s="1322"/>
      <c r="Q19" s="523"/>
      <c r="R19" s="523"/>
    </row>
    <row r="20" spans="1:18">
      <c r="A20" s="590">
        <f t="shared" si="3"/>
        <v>14</v>
      </c>
      <c r="B20" s="883">
        <v>8</v>
      </c>
      <c r="C20" s="1337" t="s">
        <v>736</v>
      </c>
      <c r="D20" s="1022" t="s">
        <v>735</v>
      </c>
      <c r="E20" s="1339" t="s">
        <v>1265</v>
      </c>
      <c r="F20" s="1027" t="s">
        <v>661</v>
      </c>
      <c r="G20" s="530">
        <f t="shared" si="0"/>
        <v>0</v>
      </c>
      <c r="H20" s="531">
        <f t="shared" si="1"/>
        <v>0</v>
      </c>
      <c r="I20" s="1320"/>
      <c r="J20" s="1321"/>
      <c r="K20" s="1321"/>
      <c r="L20" s="1322"/>
      <c r="M20" s="531">
        <f t="shared" si="2"/>
        <v>0</v>
      </c>
      <c r="N20" s="1320"/>
      <c r="O20" s="1321"/>
      <c r="P20" s="1322"/>
      <c r="Q20" s="523"/>
      <c r="R20" s="523"/>
    </row>
    <row r="21" spans="1:18">
      <c r="A21" s="590">
        <f t="shared" si="3"/>
        <v>15</v>
      </c>
      <c r="B21" s="883">
        <v>6</v>
      </c>
      <c r="C21" s="1337" t="s">
        <v>718</v>
      </c>
      <c r="D21" s="1022" t="s">
        <v>670</v>
      </c>
      <c r="E21" s="1339" t="s">
        <v>1265</v>
      </c>
      <c r="F21" s="1027" t="s">
        <v>717</v>
      </c>
      <c r="G21" s="530">
        <f t="shared" si="0"/>
        <v>0</v>
      </c>
      <c r="H21" s="531">
        <f t="shared" si="1"/>
        <v>0</v>
      </c>
      <c r="I21" s="1320"/>
      <c r="J21" s="1321"/>
      <c r="K21" s="1321"/>
      <c r="L21" s="1322"/>
      <c r="M21" s="531">
        <f t="shared" si="2"/>
        <v>0</v>
      </c>
      <c r="N21" s="1320"/>
      <c r="O21" s="1321"/>
      <c r="P21" s="1322"/>
      <c r="Q21" s="523"/>
      <c r="R21" s="523"/>
    </row>
    <row r="22" spans="1:18">
      <c r="A22" s="590">
        <f t="shared" si="3"/>
        <v>16</v>
      </c>
      <c r="B22" s="883">
        <v>6</v>
      </c>
      <c r="C22" s="1337" t="s">
        <v>719</v>
      </c>
      <c r="D22" s="1022" t="s">
        <v>671</v>
      </c>
      <c r="E22" s="1339" t="s">
        <v>1265</v>
      </c>
      <c r="F22" s="1027" t="s">
        <v>717</v>
      </c>
      <c r="G22" s="530">
        <f t="shared" si="0"/>
        <v>0</v>
      </c>
      <c r="H22" s="531">
        <f t="shared" si="1"/>
        <v>0</v>
      </c>
      <c r="I22" s="1320"/>
      <c r="J22" s="1321"/>
      <c r="K22" s="1321"/>
      <c r="L22" s="1322"/>
      <c r="M22" s="531">
        <f t="shared" si="2"/>
        <v>0</v>
      </c>
      <c r="N22" s="1320"/>
      <c r="O22" s="1321"/>
      <c r="P22" s="1322"/>
      <c r="Q22" s="523"/>
      <c r="R22" s="523"/>
    </row>
    <row r="23" spans="1:18">
      <c r="A23" s="590">
        <f t="shared" si="3"/>
        <v>17</v>
      </c>
      <c r="B23" s="883">
        <v>6</v>
      </c>
      <c r="C23" s="1337" t="s">
        <v>721</v>
      </c>
      <c r="D23" s="1022" t="s">
        <v>722</v>
      </c>
      <c r="E23" s="1339" t="s">
        <v>1265</v>
      </c>
      <c r="F23" s="1027" t="s">
        <v>720</v>
      </c>
      <c r="G23" s="530">
        <f t="shared" si="0"/>
        <v>15471</v>
      </c>
      <c r="H23" s="531">
        <f t="shared" si="1"/>
        <v>15471</v>
      </c>
      <c r="I23" s="1320">
        <v>15471</v>
      </c>
      <c r="J23" s="1321"/>
      <c r="K23" s="1321"/>
      <c r="L23" s="1322"/>
      <c r="M23" s="531">
        <f t="shared" si="2"/>
        <v>0</v>
      </c>
      <c r="N23" s="1320"/>
      <c r="O23" s="1321"/>
      <c r="P23" s="1322"/>
      <c r="Q23" s="523"/>
      <c r="R23" s="523"/>
    </row>
    <row r="24" spans="1:18">
      <c r="A24" s="590">
        <f t="shared" si="3"/>
        <v>18</v>
      </c>
      <c r="B24" s="883">
        <v>6</v>
      </c>
      <c r="C24" s="1337" t="s">
        <v>725</v>
      </c>
      <c r="D24" s="1022" t="s">
        <v>726</v>
      </c>
      <c r="E24" s="1339" t="s">
        <v>1265</v>
      </c>
      <c r="F24" s="1027" t="s">
        <v>723</v>
      </c>
      <c r="G24" s="530">
        <f t="shared" si="0"/>
        <v>0</v>
      </c>
      <c r="H24" s="531">
        <f t="shared" si="1"/>
        <v>0</v>
      </c>
      <c r="I24" s="1320"/>
      <c r="J24" s="1321"/>
      <c r="K24" s="1321"/>
      <c r="L24" s="1322"/>
      <c r="M24" s="531">
        <f t="shared" si="2"/>
        <v>0</v>
      </c>
      <c r="N24" s="1320"/>
      <c r="O24" s="1321"/>
      <c r="P24" s="1322"/>
      <c r="Q24" s="523"/>
      <c r="R24" s="523"/>
    </row>
    <row r="25" spans="1:18">
      <c r="A25" s="590">
        <f t="shared" si="3"/>
        <v>19</v>
      </c>
      <c r="B25" s="883">
        <v>6</v>
      </c>
      <c r="C25" s="1340" t="s">
        <v>724</v>
      </c>
      <c r="D25" s="1022" t="s">
        <v>672</v>
      </c>
      <c r="E25" s="1339" t="s">
        <v>1265</v>
      </c>
      <c r="F25" s="1027" t="s">
        <v>723</v>
      </c>
      <c r="G25" s="530">
        <f t="shared" si="0"/>
        <v>13315</v>
      </c>
      <c r="H25" s="531">
        <f t="shared" si="1"/>
        <v>13315</v>
      </c>
      <c r="I25" s="1320">
        <v>13315</v>
      </c>
      <c r="J25" s="1321"/>
      <c r="K25" s="1321"/>
      <c r="L25" s="1322"/>
      <c r="M25" s="531">
        <f t="shared" si="2"/>
        <v>0</v>
      </c>
      <c r="N25" s="1320"/>
      <c r="O25" s="1321"/>
      <c r="P25" s="1322"/>
      <c r="Q25" s="523"/>
      <c r="R25" s="523"/>
    </row>
    <row r="26" spans="1:18">
      <c r="A26" s="590">
        <f t="shared" si="3"/>
        <v>20</v>
      </c>
      <c r="B26" s="884">
        <v>8</v>
      </c>
      <c r="C26" s="1341" t="s">
        <v>715</v>
      </c>
      <c r="D26" s="1030" t="s">
        <v>714</v>
      </c>
      <c r="E26" s="1342" t="s">
        <v>1270</v>
      </c>
      <c r="F26" s="1032" t="s">
        <v>1019</v>
      </c>
      <c r="G26" s="534">
        <f t="shared" si="0"/>
        <v>0</v>
      </c>
      <c r="H26" s="535">
        <f t="shared" si="1"/>
        <v>0</v>
      </c>
      <c r="I26" s="1320"/>
      <c r="J26" s="1321"/>
      <c r="K26" s="1321"/>
      <c r="L26" s="1322"/>
      <c r="M26" s="535">
        <f t="shared" si="2"/>
        <v>0</v>
      </c>
      <c r="N26" s="1320"/>
      <c r="O26" s="1321"/>
      <c r="P26" s="1322"/>
      <c r="Q26" s="523"/>
      <c r="R26" s="523"/>
    </row>
    <row r="27" spans="1:18">
      <c r="A27" s="590">
        <f t="shared" si="3"/>
        <v>21</v>
      </c>
      <c r="B27" s="885">
        <v>5</v>
      </c>
      <c r="C27" s="1341" t="s">
        <v>703</v>
      </c>
      <c r="D27" s="1030" t="s">
        <v>651</v>
      </c>
      <c r="E27" s="1342" t="s">
        <v>1265</v>
      </c>
      <c r="F27" s="1032" t="s">
        <v>651</v>
      </c>
      <c r="G27" s="534">
        <f t="shared" si="0"/>
        <v>0</v>
      </c>
      <c r="H27" s="535">
        <f t="shared" si="1"/>
        <v>0</v>
      </c>
      <c r="I27" s="1320"/>
      <c r="J27" s="1321"/>
      <c r="K27" s="1321"/>
      <c r="L27" s="1322"/>
      <c r="M27" s="535">
        <f t="shared" si="2"/>
        <v>0</v>
      </c>
      <c r="N27" s="1320"/>
      <c r="O27" s="1321"/>
      <c r="P27" s="1322"/>
      <c r="Q27" s="523"/>
      <c r="R27" s="523"/>
    </row>
    <row r="28" spans="1:18" s="536" customFormat="1">
      <c r="A28" s="590">
        <f t="shared" si="3"/>
        <v>22</v>
      </c>
      <c r="B28" s="885">
        <v>8</v>
      </c>
      <c r="C28" s="1340" t="s">
        <v>705</v>
      </c>
      <c r="D28" s="1022" t="s">
        <v>704</v>
      </c>
      <c r="E28" s="1339" t="s">
        <v>1287</v>
      </c>
      <c r="F28" s="1027" t="s">
        <v>704</v>
      </c>
      <c r="G28" s="530">
        <f t="shared" si="0"/>
        <v>0</v>
      </c>
      <c r="H28" s="531">
        <f t="shared" si="1"/>
        <v>0</v>
      </c>
      <c r="I28" s="1320"/>
      <c r="J28" s="1321"/>
      <c r="K28" s="1321"/>
      <c r="L28" s="1322"/>
      <c r="M28" s="531">
        <f t="shared" si="2"/>
        <v>0</v>
      </c>
      <c r="N28" s="1320"/>
      <c r="O28" s="1321"/>
      <c r="P28" s="1322"/>
      <c r="Q28" s="523"/>
      <c r="R28" s="523"/>
    </row>
    <row r="29" spans="1:18" s="536" customFormat="1">
      <c r="A29" s="590">
        <f t="shared" si="3"/>
        <v>23</v>
      </c>
      <c r="B29" s="884">
        <v>5</v>
      </c>
      <c r="C29" s="1340" t="s">
        <v>706</v>
      </c>
      <c r="D29" s="1022" t="s">
        <v>652</v>
      </c>
      <c r="E29" s="1339" t="s">
        <v>1265</v>
      </c>
      <c r="F29" s="1027" t="s">
        <v>652</v>
      </c>
      <c r="G29" s="530">
        <f t="shared" si="0"/>
        <v>0</v>
      </c>
      <c r="H29" s="531">
        <f t="shared" si="1"/>
        <v>0</v>
      </c>
      <c r="I29" s="1320"/>
      <c r="J29" s="1321"/>
      <c r="K29" s="1321"/>
      <c r="L29" s="1322"/>
      <c r="M29" s="531">
        <f t="shared" si="2"/>
        <v>0</v>
      </c>
      <c r="N29" s="1320"/>
      <c r="O29" s="1321"/>
      <c r="P29" s="1322"/>
      <c r="Q29" s="523"/>
      <c r="R29" s="523"/>
    </row>
    <row r="30" spans="1:18" s="536" customFormat="1">
      <c r="A30" s="590">
        <f t="shared" si="3"/>
        <v>24</v>
      </c>
      <c r="B30" s="884">
        <v>8</v>
      </c>
      <c r="C30" s="1340" t="s">
        <v>727</v>
      </c>
      <c r="D30" s="1022" t="s">
        <v>657</v>
      </c>
      <c r="E30" s="1339" t="s">
        <v>1265</v>
      </c>
      <c r="F30" s="1027" t="s">
        <v>657</v>
      </c>
      <c r="G30" s="530">
        <f t="shared" si="0"/>
        <v>0</v>
      </c>
      <c r="H30" s="531">
        <f t="shared" si="1"/>
        <v>0</v>
      </c>
      <c r="I30" s="1320"/>
      <c r="J30" s="1321"/>
      <c r="K30" s="1321"/>
      <c r="L30" s="1322"/>
      <c r="M30" s="531">
        <f t="shared" si="2"/>
        <v>0</v>
      </c>
      <c r="N30" s="1320"/>
      <c r="O30" s="1321"/>
      <c r="P30" s="1322"/>
      <c r="Q30" s="523"/>
      <c r="R30" s="523"/>
    </row>
    <row r="31" spans="1:18" s="536" customFormat="1">
      <c r="A31" s="590">
        <f t="shared" si="3"/>
        <v>25</v>
      </c>
      <c r="B31" s="884">
        <v>8</v>
      </c>
      <c r="C31" s="1340" t="s">
        <v>701</v>
      </c>
      <c r="D31" s="1022" t="s">
        <v>702</v>
      </c>
      <c r="E31" s="1339" t="s">
        <v>1265</v>
      </c>
      <c r="F31" s="1027" t="s">
        <v>1022</v>
      </c>
      <c r="G31" s="530">
        <f t="shared" si="0"/>
        <v>0</v>
      </c>
      <c r="H31" s="531">
        <f t="shared" si="1"/>
        <v>0</v>
      </c>
      <c r="I31" s="1320"/>
      <c r="J31" s="1321"/>
      <c r="K31" s="1321"/>
      <c r="L31" s="1322"/>
      <c r="M31" s="531">
        <f t="shared" si="2"/>
        <v>0</v>
      </c>
      <c r="N31" s="1320"/>
      <c r="O31" s="1321"/>
      <c r="P31" s="1322"/>
      <c r="Q31" s="523"/>
      <c r="R31" s="523"/>
    </row>
    <row r="32" spans="1:18" s="536" customFormat="1">
      <c r="A32" s="590">
        <f t="shared" si="3"/>
        <v>26</v>
      </c>
      <c r="B32" s="884">
        <v>8</v>
      </c>
      <c r="C32" s="1340" t="s">
        <v>699</v>
      </c>
      <c r="D32" s="1022" t="s">
        <v>700</v>
      </c>
      <c r="E32" s="1339" t="s">
        <v>1265</v>
      </c>
      <c r="F32" s="1027" t="s">
        <v>650</v>
      </c>
      <c r="G32" s="530">
        <f t="shared" si="0"/>
        <v>8694</v>
      </c>
      <c r="H32" s="531">
        <f t="shared" si="1"/>
        <v>8694</v>
      </c>
      <c r="I32" s="1320"/>
      <c r="J32" s="1321"/>
      <c r="K32" s="1321">
        <v>8694</v>
      </c>
      <c r="L32" s="1322"/>
      <c r="M32" s="531">
        <f t="shared" si="2"/>
        <v>0</v>
      </c>
      <c r="N32" s="1320"/>
      <c r="O32" s="1321"/>
      <c r="P32" s="1322"/>
      <c r="Q32" s="523"/>
      <c r="R32" s="523"/>
    </row>
    <row r="33" spans="1:18" s="536" customFormat="1">
      <c r="A33" s="590">
        <f t="shared" si="3"/>
        <v>27</v>
      </c>
      <c r="B33" s="884">
        <v>3</v>
      </c>
      <c r="C33" s="1340" t="s">
        <v>707</v>
      </c>
      <c r="D33" s="1022" t="s">
        <v>653</v>
      </c>
      <c r="E33" s="1339" t="s">
        <v>1265</v>
      </c>
      <c r="F33" s="1027" t="s">
        <v>653</v>
      </c>
      <c r="G33" s="530">
        <f t="shared" si="0"/>
        <v>0</v>
      </c>
      <c r="H33" s="531">
        <f t="shared" si="1"/>
        <v>0</v>
      </c>
      <c r="I33" s="1320"/>
      <c r="J33" s="1321"/>
      <c r="K33" s="1321"/>
      <c r="L33" s="1322"/>
      <c r="M33" s="531">
        <f t="shared" si="2"/>
        <v>0</v>
      </c>
      <c r="N33" s="1320"/>
      <c r="O33" s="1321"/>
      <c r="P33" s="1322"/>
      <c r="Q33" s="523"/>
      <c r="R33" s="523"/>
    </row>
    <row r="34" spans="1:18" s="536" customFormat="1">
      <c r="A34" s="590">
        <f t="shared" si="3"/>
        <v>28</v>
      </c>
      <c r="B34" s="884">
        <v>4</v>
      </c>
      <c r="C34" s="1340" t="s">
        <v>716</v>
      </c>
      <c r="D34" s="1022" t="s">
        <v>655</v>
      </c>
      <c r="E34" s="1339" t="s">
        <v>1272</v>
      </c>
      <c r="F34" s="1027" t="s">
        <v>655</v>
      </c>
      <c r="G34" s="530">
        <f>+H34+M34</f>
        <v>0</v>
      </c>
      <c r="H34" s="531">
        <f t="shared" si="1"/>
        <v>0</v>
      </c>
      <c r="I34" s="1320"/>
      <c r="J34" s="1321"/>
      <c r="K34" s="1321"/>
      <c r="L34" s="1322"/>
      <c r="M34" s="531">
        <f t="shared" si="2"/>
        <v>0</v>
      </c>
      <c r="N34" s="1320"/>
      <c r="O34" s="1321"/>
      <c r="P34" s="1322"/>
      <c r="Q34" s="523"/>
      <c r="R34" s="523"/>
    </row>
    <row r="35" spans="1:18" s="536" customFormat="1">
      <c r="A35" s="590">
        <f t="shared" si="3"/>
        <v>29</v>
      </c>
      <c r="B35" s="884">
        <v>8</v>
      </c>
      <c r="C35" s="1337" t="s">
        <v>708</v>
      </c>
      <c r="D35" s="1028" t="s">
        <v>654</v>
      </c>
      <c r="E35" s="1339" t="s">
        <v>1265</v>
      </c>
      <c r="F35" s="1029" t="s">
        <v>654</v>
      </c>
      <c r="G35" s="530">
        <f t="shared" si="0"/>
        <v>36446</v>
      </c>
      <c r="H35" s="531">
        <f t="shared" si="1"/>
        <v>23947</v>
      </c>
      <c r="I35" s="1320">
        <v>4500</v>
      </c>
      <c r="J35" s="1321">
        <v>500</v>
      </c>
      <c r="K35" s="1321">
        <v>18947</v>
      </c>
      <c r="L35" s="1322"/>
      <c r="M35" s="531">
        <f t="shared" si="2"/>
        <v>12499</v>
      </c>
      <c r="N35" s="1320">
        <v>2499</v>
      </c>
      <c r="O35" s="1321">
        <v>10000</v>
      </c>
      <c r="P35" s="1322"/>
      <c r="Q35" s="523"/>
      <c r="R35" s="523"/>
    </row>
    <row r="36" spans="1:18" s="536" customFormat="1" ht="24">
      <c r="A36" s="590">
        <f t="shared" si="3"/>
        <v>30</v>
      </c>
      <c r="B36" s="883">
        <v>7</v>
      </c>
      <c r="C36" s="1337" t="s">
        <v>705</v>
      </c>
      <c r="D36" s="1028" t="s">
        <v>1300</v>
      </c>
      <c r="E36" s="1339" t="s">
        <v>1287</v>
      </c>
      <c r="F36" s="1029" t="s">
        <v>1291</v>
      </c>
      <c r="G36" s="530">
        <f>+H36+M36</f>
        <v>0</v>
      </c>
      <c r="H36" s="531">
        <f>+I36+J36+K36+L36</f>
        <v>0</v>
      </c>
      <c r="I36" s="1320"/>
      <c r="J36" s="1321"/>
      <c r="K36" s="1321"/>
      <c r="L36" s="1322"/>
      <c r="M36" s="531">
        <f>+N36+O36+P36</f>
        <v>0</v>
      </c>
      <c r="N36" s="1320"/>
      <c r="O36" s="1321"/>
      <c r="P36" s="1322"/>
      <c r="Q36" s="523"/>
      <c r="R36" s="523"/>
    </row>
    <row r="37" spans="1:18" s="536" customFormat="1" ht="24">
      <c r="A37" s="590">
        <f t="shared" si="3"/>
        <v>31</v>
      </c>
      <c r="B37" s="883">
        <v>7</v>
      </c>
      <c r="C37" s="1337" t="s">
        <v>705</v>
      </c>
      <c r="D37" s="1028" t="s">
        <v>1300</v>
      </c>
      <c r="E37" s="1339" t="s">
        <v>1287</v>
      </c>
      <c r="F37" s="1029" t="s">
        <v>1292</v>
      </c>
      <c r="G37" s="530">
        <f t="shared" si="0"/>
        <v>0</v>
      </c>
      <c r="H37" s="531">
        <f t="shared" si="1"/>
        <v>0</v>
      </c>
      <c r="I37" s="1320"/>
      <c r="J37" s="1321"/>
      <c r="K37" s="1321"/>
      <c r="L37" s="1322"/>
      <c r="M37" s="531">
        <f t="shared" si="2"/>
        <v>0</v>
      </c>
      <c r="N37" s="1320"/>
      <c r="O37" s="1321"/>
      <c r="P37" s="1322"/>
      <c r="Q37" s="523"/>
      <c r="R37" s="523"/>
    </row>
    <row r="38" spans="1:18" s="536" customFormat="1" ht="24">
      <c r="A38" s="590">
        <f t="shared" si="3"/>
        <v>32</v>
      </c>
      <c r="B38" s="883">
        <v>7</v>
      </c>
      <c r="C38" s="1337" t="s">
        <v>705</v>
      </c>
      <c r="D38" s="1028" t="s">
        <v>1300</v>
      </c>
      <c r="E38" s="1339" t="s">
        <v>1287</v>
      </c>
      <c r="F38" s="1029" t="s">
        <v>1293</v>
      </c>
      <c r="G38" s="530">
        <f t="shared" si="0"/>
        <v>0</v>
      </c>
      <c r="H38" s="531">
        <f t="shared" si="1"/>
        <v>0</v>
      </c>
      <c r="I38" s="1320"/>
      <c r="J38" s="1321"/>
      <c r="K38" s="1321"/>
      <c r="L38" s="1322"/>
      <c r="M38" s="531">
        <f t="shared" si="2"/>
        <v>0</v>
      </c>
      <c r="N38" s="1320"/>
      <c r="O38" s="1321"/>
      <c r="P38" s="1322"/>
      <c r="Q38" s="523"/>
      <c r="R38" s="523"/>
    </row>
    <row r="39" spans="1:18" s="536" customFormat="1" ht="24">
      <c r="A39" s="590">
        <f t="shared" si="3"/>
        <v>33</v>
      </c>
      <c r="B39" s="883">
        <v>7</v>
      </c>
      <c r="C39" s="1337" t="s">
        <v>1296</v>
      </c>
      <c r="D39" s="1028" t="s">
        <v>1294</v>
      </c>
      <c r="E39" s="1339" t="s">
        <v>1265</v>
      </c>
      <c r="F39" s="1029" t="s">
        <v>1295</v>
      </c>
      <c r="G39" s="530">
        <f t="shared" si="0"/>
        <v>0</v>
      </c>
      <c r="H39" s="531">
        <f t="shared" si="1"/>
        <v>0</v>
      </c>
      <c r="I39" s="1320"/>
      <c r="J39" s="1321"/>
      <c r="K39" s="1321"/>
      <c r="L39" s="1322"/>
      <c r="M39" s="531">
        <f t="shared" si="2"/>
        <v>0</v>
      </c>
      <c r="N39" s="1320"/>
      <c r="O39" s="1321"/>
      <c r="P39" s="1322"/>
      <c r="Q39" s="523"/>
      <c r="R39" s="523"/>
    </row>
    <row r="40" spans="1:18" s="536" customFormat="1" ht="24">
      <c r="A40" s="590">
        <f t="shared" si="3"/>
        <v>34</v>
      </c>
      <c r="B40" s="883">
        <v>7</v>
      </c>
      <c r="C40" s="1337" t="s">
        <v>1093</v>
      </c>
      <c r="D40" s="1028" t="s">
        <v>1299</v>
      </c>
      <c r="E40" s="1339" t="s">
        <v>1265</v>
      </c>
      <c r="F40" s="1029" t="s">
        <v>1298</v>
      </c>
      <c r="G40" s="530">
        <f>+H40+M40</f>
        <v>0</v>
      </c>
      <c r="H40" s="531">
        <f>+I40+J40+K40+L40</f>
        <v>0</v>
      </c>
      <c r="I40" s="1320"/>
      <c r="J40" s="1321"/>
      <c r="K40" s="1321"/>
      <c r="L40" s="1322"/>
      <c r="M40" s="531">
        <f>+N40+O40+P40</f>
        <v>0</v>
      </c>
      <c r="N40" s="1320"/>
      <c r="O40" s="1321"/>
      <c r="P40" s="1322"/>
      <c r="Q40" s="523"/>
      <c r="R40" s="523"/>
    </row>
    <row r="41" spans="1:18" s="536" customFormat="1" ht="24">
      <c r="A41" s="590">
        <f t="shared" si="3"/>
        <v>35</v>
      </c>
      <c r="B41" s="883">
        <v>7</v>
      </c>
      <c r="C41" s="1337" t="s">
        <v>1302</v>
      </c>
      <c r="D41" s="1028" t="s">
        <v>1303</v>
      </c>
      <c r="E41" s="1339" t="s">
        <v>1265</v>
      </c>
      <c r="F41" s="1029" t="s">
        <v>1304</v>
      </c>
      <c r="G41" s="530">
        <f>+H41+M41</f>
        <v>0</v>
      </c>
      <c r="H41" s="531">
        <f>+I41+J41+K41+L41</f>
        <v>0</v>
      </c>
      <c r="I41" s="1320"/>
      <c r="J41" s="1321"/>
      <c r="K41" s="1321"/>
      <c r="L41" s="1322"/>
      <c r="M41" s="531">
        <f>+N41+O41+P41</f>
        <v>0</v>
      </c>
      <c r="N41" s="1320"/>
      <c r="O41" s="1321"/>
      <c r="P41" s="1322"/>
      <c r="Q41" s="523"/>
      <c r="R41" s="523"/>
    </row>
    <row r="42" spans="1:18" s="536" customFormat="1" ht="24">
      <c r="A42" s="590">
        <f t="shared" si="3"/>
        <v>36</v>
      </c>
      <c r="B42" s="883">
        <v>7</v>
      </c>
      <c r="C42" s="1337" t="s">
        <v>713</v>
      </c>
      <c r="D42" s="1028" t="s">
        <v>1306</v>
      </c>
      <c r="E42" s="1339" t="s">
        <v>1268</v>
      </c>
      <c r="F42" s="1029" t="s">
        <v>1305</v>
      </c>
      <c r="G42" s="530">
        <f>+H42+M42</f>
        <v>0</v>
      </c>
      <c r="H42" s="531">
        <f>+I42+J42+K42+L42</f>
        <v>0</v>
      </c>
      <c r="I42" s="1320"/>
      <c r="J42" s="1321"/>
      <c r="K42" s="1321"/>
      <c r="L42" s="1322"/>
      <c r="M42" s="531">
        <f>+N42+O42+P42</f>
        <v>0</v>
      </c>
      <c r="N42" s="1320"/>
      <c r="O42" s="1321"/>
      <c r="P42" s="1322"/>
      <c r="Q42" s="523"/>
      <c r="R42" s="523"/>
    </row>
    <row r="43" spans="1:18" s="536" customFormat="1">
      <c r="A43" s="590">
        <f t="shared" si="3"/>
        <v>37</v>
      </c>
      <c r="B43" s="883">
        <v>7</v>
      </c>
      <c r="C43" s="1340" t="s">
        <v>1307</v>
      </c>
      <c r="D43" s="1022" t="s">
        <v>1309</v>
      </c>
      <c r="E43" s="1339" t="s">
        <v>1265</v>
      </c>
      <c r="F43" s="1027" t="s">
        <v>1308</v>
      </c>
      <c r="G43" s="530">
        <f t="shared" si="0"/>
        <v>0</v>
      </c>
      <c r="H43" s="531">
        <f t="shared" si="1"/>
        <v>0</v>
      </c>
      <c r="I43" s="1320"/>
      <c r="J43" s="1321"/>
      <c r="K43" s="1321"/>
      <c r="L43" s="1322"/>
      <c r="M43" s="531">
        <f t="shared" si="2"/>
        <v>0</v>
      </c>
      <c r="N43" s="1320"/>
      <c r="O43" s="1321"/>
      <c r="P43" s="1322"/>
      <c r="Q43" s="523"/>
      <c r="R43" s="523"/>
    </row>
    <row r="44" spans="1:18" s="536" customFormat="1">
      <c r="A44" s="590">
        <f t="shared" si="3"/>
        <v>38</v>
      </c>
      <c r="B44" s="883">
        <v>7</v>
      </c>
      <c r="C44" s="1340" t="s">
        <v>713</v>
      </c>
      <c r="D44" s="1022" t="s">
        <v>1311</v>
      </c>
      <c r="E44" s="1339" t="s">
        <v>1268</v>
      </c>
      <c r="F44" s="1027" t="s">
        <v>1310</v>
      </c>
      <c r="G44" s="530">
        <f t="shared" si="0"/>
        <v>0</v>
      </c>
      <c r="H44" s="531">
        <f t="shared" si="1"/>
        <v>0</v>
      </c>
      <c r="I44" s="1320"/>
      <c r="J44" s="1321"/>
      <c r="K44" s="1321"/>
      <c r="L44" s="1322"/>
      <c r="M44" s="531">
        <f t="shared" si="2"/>
        <v>0</v>
      </c>
      <c r="N44" s="1320"/>
      <c r="O44" s="1321"/>
      <c r="P44" s="1322"/>
      <c r="Q44" s="523"/>
      <c r="R44" s="523"/>
    </row>
    <row r="45" spans="1:18" s="536" customFormat="1">
      <c r="A45" s="590">
        <f t="shared" si="3"/>
        <v>39</v>
      </c>
      <c r="B45" s="883">
        <v>7</v>
      </c>
      <c r="C45" s="1340" t="s">
        <v>1038</v>
      </c>
      <c r="D45" s="1022" t="s">
        <v>1312</v>
      </c>
      <c r="E45" s="1339" t="s">
        <v>1285</v>
      </c>
      <c r="F45" s="1027" t="s">
        <v>1313</v>
      </c>
      <c r="G45" s="530">
        <f t="shared" si="0"/>
        <v>0</v>
      </c>
      <c r="H45" s="531">
        <f t="shared" si="1"/>
        <v>0</v>
      </c>
      <c r="I45" s="1320"/>
      <c r="J45" s="1321"/>
      <c r="K45" s="1321"/>
      <c r="L45" s="1322"/>
      <c r="M45" s="531">
        <f t="shared" si="2"/>
        <v>0</v>
      </c>
      <c r="N45" s="1320"/>
      <c r="O45" s="1321"/>
      <c r="P45" s="1322"/>
      <c r="Q45" s="523"/>
      <c r="R45" s="523"/>
    </row>
    <row r="46" spans="1:18">
      <c r="A46" s="590">
        <f t="shared" si="3"/>
        <v>40</v>
      </c>
      <c r="B46" s="883">
        <v>7</v>
      </c>
      <c r="C46" s="1340" t="s">
        <v>708</v>
      </c>
      <c r="D46" s="1022" t="s">
        <v>1198</v>
      </c>
      <c r="E46" s="1343" t="s">
        <v>1265</v>
      </c>
      <c r="F46" s="1027" t="s">
        <v>1199</v>
      </c>
      <c r="G46" s="530">
        <f t="shared" si="0"/>
        <v>0</v>
      </c>
      <c r="H46" s="531">
        <f t="shared" si="1"/>
        <v>0</v>
      </c>
      <c r="I46" s="1320"/>
      <c r="J46" s="1321"/>
      <c r="K46" s="1321"/>
      <c r="L46" s="1322"/>
      <c r="M46" s="531">
        <f t="shared" si="2"/>
        <v>0</v>
      </c>
      <c r="N46" s="1320"/>
      <c r="O46" s="1321"/>
      <c r="P46" s="1322"/>
      <c r="Q46" s="523"/>
      <c r="R46" s="523"/>
    </row>
    <row r="47" spans="1:18">
      <c r="A47" s="590">
        <f t="shared" si="3"/>
        <v>41</v>
      </c>
      <c r="B47" s="883">
        <v>8</v>
      </c>
      <c r="C47" s="1340" t="s">
        <v>1023</v>
      </c>
      <c r="D47" s="1022" t="s">
        <v>1024</v>
      </c>
      <c r="E47" s="1339" t="s">
        <v>1265</v>
      </c>
      <c r="F47" s="1027" t="s">
        <v>1025</v>
      </c>
      <c r="G47" s="530">
        <f t="shared" si="0"/>
        <v>0</v>
      </c>
      <c r="H47" s="531">
        <f t="shared" si="1"/>
        <v>0</v>
      </c>
      <c r="I47" s="1320"/>
      <c r="J47" s="1321"/>
      <c r="K47" s="1321"/>
      <c r="L47" s="1322"/>
      <c r="M47" s="531">
        <f t="shared" si="2"/>
        <v>0</v>
      </c>
      <c r="N47" s="1320"/>
      <c r="O47" s="1321"/>
      <c r="P47" s="1322"/>
      <c r="Q47" s="523"/>
      <c r="R47" s="523"/>
    </row>
    <row r="48" spans="1:18">
      <c r="A48" s="590">
        <f t="shared" si="3"/>
        <v>42</v>
      </c>
      <c r="B48" s="883">
        <v>8</v>
      </c>
      <c r="C48" s="1340" t="s">
        <v>1026</v>
      </c>
      <c r="D48" s="1022" t="s">
        <v>1027</v>
      </c>
      <c r="E48" s="1339" t="s">
        <v>1265</v>
      </c>
      <c r="F48" s="1027" t="s">
        <v>1027</v>
      </c>
      <c r="G48" s="530">
        <f>+H48+M48</f>
        <v>0</v>
      </c>
      <c r="H48" s="531">
        <f>+I48+J48+K48+L48</f>
        <v>0</v>
      </c>
      <c r="I48" s="1320"/>
      <c r="J48" s="1321"/>
      <c r="K48" s="1321"/>
      <c r="L48" s="1322"/>
      <c r="M48" s="531">
        <f>+N48+O48+P48</f>
        <v>0</v>
      </c>
      <c r="N48" s="1320"/>
      <c r="O48" s="1321"/>
      <c r="P48" s="1322"/>
      <c r="Q48" s="523"/>
      <c r="R48" s="523"/>
    </row>
    <row r="49" spans="1:18">
      <c r="A49" s="590">
        <f t="shared" si="3"/>
        <v>43</v>
      </c>
      <c r="B49" s="883">
        <v>8</v>
      </c>
      <c r="C49" s="1340" t="s">
        <v>711</v>
      </c>
      <c r="D49" s="1022" t="s">
        <v>712</v>
      </c>
      <c r="E49" s="1339" t="s">
        <v>1271</v>
      </c>
      <c r="F49" s="1027" t="s">
        <v>712</v>
      </c>
      <c r="G49" s="530">
        <f t="shared" si="0"/>
        <v>24900</v>
      </c>
      <c r="H49" s="531">
        <f t="shared" si="1"/>
        <v>0</v>
      </c>
      <c r="I49" s="1320"/>
      <c r="J49" s="1321"/>
      <c r="K49" s="1321"/>
      <c r="L49" s="1322"/>
      <c r="M49" s="531">
        <f t="shared" si="2"/>
        <v>24900</v>
      </c>
      <c r="N49" s="1320">
        <v>24900</v>
      </c>
      <c r="O49" s="1321"/>
      <c r="P49" s="1322"/>
      <c r="Q49" s="523"/>
      <c r="R49" s="523"/>
    </row>
    <row r="50" spans="1:18">
      <c r="A50" s="590">
        <f t="shared" si="3"/>
        <v>44</v>
      </c>
      <c r="B50" s="883">
        <v>8</v>
      </c>
      <c r="C50" s="1340" t="s">
        <v>1030</v>
      </c>
      <c r="D50" s="1022" t="s">
        <v>1028</v>
      </c>
      <c r="E50" s="1339" t="s">
        <v>1273</v>
      </c>
      <c r="F50" s="1027" t="s">
        <v>1028</v>
      </c>
      <c r="G50" s="530">
        <f t="shared" si="0"/>
        <v>0</v>
      </c>
      <c r="H50" s="531">
        <f t="shared" si="1"/>
        <v>0</v>
      </c>
      <c r="I50" s="1320"/>
      <c r="J50" s="1321"/>
      <c r="K50" s="1321"/>
      <c r="L50" s="1322"/>
      <c r="M50" s="531">
        <f t="shared" si="2"/>
        <v>0</v>
      </c>
      <c r="N50" s="1320"/>
      <c r="O50" s="1321"/>
      <c r="P50" s="1322"/>
      <c r="Q50" s="523"/>
      <c r="R50" s="523"/>
    </row>
    <row r="51" spans="1:18">
      <c r="A51" s="590">
        <f t="shared" si="3"/>
        <v>45</v>
      </c>
      <c r="B51" s="883">
        <v>8</v>
      </c>
      <c r="C51" s="1340" t="s">
        <v>1031</v>
      </c>
      <c r="D51" s="1022" t="s">
        <v>1029</v>
      </c>
      <c r="E51" s="1339" t="s">
        <v>1265</v>
      </c>
      <c r="F51" s="1027" t="s">
        <v>1032</v>
      </c>
      <c r="G51" s="530">
        <f t="shared" si="0"/>
        <v>0</v>
      </c>
      <c r="H51" s="531">
        <f t="shared" si="1"/>
        <v>0</v>
      </c>
      <c r="I51" s="1320"/>
      <c r="J51" s="1321"/>
      <c r="K51" s="1321"/>
      <c r="L51" s="1322"/>
      <c r="M51" s="531">
        <f t="shared" si="2"/>
        <v>0</v>
      </c>
      <c r="N51" s="1320"/>
      <c r="O51" s="1321"/>
      <c r="P51" s="1322"/>
      <c r="Q51" s="523"/>
      <c r="R51" s="523"/>
    </row>
    <row r="52" spans="1:18">
      <c r="A52" s="590">
        <f t="shared" si="3"/>
        <v>46</v>
      </c>
      <c r="B52" s="884">
        <v>8</v>
      </c>
      <c r="C52" s="1341" t="s">
        <v>1033</v>
      </c>
      <c r="D52" s="1030" t="s">
        <v>1034</v>
      </c>
      <c r="E52" s="1342" t="s">
        <v>1265</v>
      </c>
      <c r="F52" s="1032" t="s">
        <v>1034</v>
      </c>
      <c r="G52" s="534">
        <f t="shared" si="0"/>
        <v>0</v>
      </c>
      <c r="H52" s="535">
        <f t="shared" si="1"/>
        <v>0</v>
      </c>
      <c r="I52" s="1320"/>
      <c r="J52" s="1321"/>
      <c r="K52" s="1321"/>
      <c r="L52" s="1322"/>
      <c r="M52" s="535">
        <f t="shared" si="2"/>
        <v>0</v>
      </c>
      <c r="N52" s="1320"/>
      <c r="O52" s="1321"/>
      <c r="P52" s="1322"/>
      <c r="Q52" s="523"/>
      <c r="R52" s="523"/>
    </row>
    <row r="53" spans="1:18">
      <c r="A53" s="590">
        <f t="shared" si="3"/>
        <v>47</v>
      </c>
      <c r="B53" s="884">
        <v>8</v>
      </c>
      <c r="C53" s="1341" t="s">
        <v>739</v>
      </c>
      <c r="D53" s="1030" t="s">
        <v>737</v>
      </c>
      <c r="E53" s="1342" t="s">
        <v>1274</v>
      </c>
      <c r="F53" s="1032" t="s">
        <v>666</v>
      </c>
      <c r="G53" s="534">
        <f t="shared" si="0"/>
        <v>2500</v>
      </c>
      <c r="H53" s="535">
        <f t="shared" si="1"/>
        <v>2500</v>
      </c>
      <c r="I53" s="1320"/>
      <c r="J53" s="1321"/>
      <c r="K53" s="1321">
        <v>2500</v>
      </c>
      <c r="L53" s="1322"/>
      <c r="M53" s="535">
        <f t="shared" si="2"/>
        <v>0</v>
      </c>
      <c r="N53" s="1320"/>
      <c r="O53" s="1321"/>
      <c r="P53" s="1322"/>
      <c r="Q53" s="523"/>
      <c r="R53" s="523"/>
    </row>
    <row r="54" spans="1:18">
      <c r="A54" s="590">
        <f t="shared" si="3"/>
        <v>48</v>
      </c>
      <c r="B54" s="884">
        <v>8</v>
      </c>
      <c r="C54" s="1341" t="s">
        <v>740</v>
      </c>
      <c r="D54" s="1030" t="s">
        <v>738</v>
      </c>
      <c r="E54" s="1342" t="s">
        <v>1265</v>
      </c>
      <c r="F54" s="1032" t="s">
        <v>662</v>
      </c>
      <c r="G54" s="534">
        <f>+H54+M54</f>
        <v>0</v>
      </c>
      <c r="H54" s="535">
        <f>+I54+J54+K54+L54</f>
        <v>0</v>
      </c>
      <c r="I54" s="1320"/>
      <c r="J54" s="1321"/>
      <c r="K54" s="1321"/>
      <c r="L54" s="1322"/>
      <c r="M54" s="535">
        <f>+N54+O54+P54</f>
        <v>0</v>
      </c>
      <c r="N54" s="1320"/>
      <c r="O54" s="1321"/>
      <c r="P54" s="1322"/>
      <c r="Q54" s="523"/>
      <c r="R54" s="523"/>
    </row>
    <row r="55" spans="1:18">
      <c r="A55" s="590">
        <f t="shared" si="3"/>
        <v>49</v>
      </c>
      <c r="B55" s="884">
        <v>8</v>
      </c>
      <c r="C55" s="1341" t="s">
        <v>1035</v>
      </c>
      <c r="D55" s="1030" t="s">
        <v>1036</v>
      </c>
      <c r="E55" s="1342" t="s">
        <v>1265</v>
      </c>
      <c r="F55" s="1032" t="s">
        <v>1036</v>
      </c>
      <c r="G55" s="534">
        <f t="shared" si="0"/>
        <v>0</v>
      </c>
      <c r="H55" s="535">
        <f t="shared" si="1"/>
        <v>0</v>
      </c>
      <c r="I55" s="1320"/>
      <c r="J55" s="1321"/>
      <c r="K55" s="1321"/>
      <c r="L55" s="1322"/>
      <c r="M55" s="535">
        <f t="shared" si="2"/>
        <v>0</v>
      </c>
      <c r="N55" s="1320"/>
      <c r="O55" s="1321"/>
      <c r="P55" s="1322"/>
      <c r="Q55" s="523"/>
      <c r="R55" s="523"/>
    </row>
    <row r="56" spans="1:18">
      <c r="A56" s="590">
        <f t="shared" si="3"/>
        <v>50</v>
      </c>
      <c r="B56" s="884">
        <v>6</v>
      </c>
      <c r="C56" s="1341" t="s">
        <v>688</v>
      </c>
      <c r="D56" s="1030" t="s">
        <v>687</v>
      </c>
      <c r="E56" s="1342" t="s">
        <v>1265</v>
      </c>
      <c r="F56" s="1032" t="s">
        <v>1046</v>
      </c>
      <c r="G56" s="534">
        <f>+H56+M56</f>
        <v>0</v>
      </c>
      <c r="H56" s="535">
        <f>+I56+J56+K56+L56</f>
        <v>0</v>
      </c>
      <c r="I56" s="1320"/>
      <c r="J56" s="1321"/>
      <c r="K56" s="1321"/>
      <c r="L56" s="1322"/>
      <c r="M56" s="535">
        <f>+N56+O56+P56</f>
        <v>0</v>
      </c>
      <c r="N56" s="1320"/>
      <c r="O56" s="1321"/>
      <c r="P56" s="1322"/>
      <c r="Q56" s="523"/>
      <c r="R56" s="523"/>
    </row>
    <row r="57" spans="1:18">
      <c r="A57" s="590">
        <f t="shared" si="3"/>
        <v>51</v>
      </c>
      <c r="B57" s="884">
        <v>6</v>
      </c>
      <c r="C57" s="1341" t="s">
        <v>694</v>
      </c>
      <c r="D57" s="1030" t="s">
        <v>693</v>
      </c>
      <c r="E57" s="1342" t="s">
        <v>1265</v>
      </c>
      <c r="F57" s="1032" t="s">
        <v>1048</v>
      </c>
      <c r="G57" s="534">
        <f>+H57+M57</f>
        <v>0</v>
      </c>
      <c r="H57" s="535">
        <f>+I57+J57+K57+L57</f>
        <v>0</v>
      </c>
      <c r="I57" s="1320"/>
      <c r="J57" s="1321"/>
      <c r="K57" s="1321"/>
      <c r="L57" s="1322"/>
      <c r="M57" s="535">
        <f>+N57+O57+P57</f>
        <v>0</v>
      </c>
      <c r="N57" s="1320"/>
      <c r="O57" s="1321"/>
      <c r="P57" s="1322"/>
      <c r="Q57" s="523"/>
      <c r="R57" s="523"/>
    </row>
    <row r="58" spans="1:18">
      <c r="A58" s="590">
        <f t="shared" si="3"/>
        <v>52</v>
      </c>
      <c r="B58" s="884">
        <v>6</v>
      </c>
      <c r="C58" s="1341" t="s">
        <v>1045</v>
      </c>
      <c r="D58" s="1030" t="s">
        <v>1044</v>
      </c>
      <c r="E58" s="1342" t="s">
        <v>1275</v>
      </c>
      <c r="F58" s="1032" t="s">
        <v>1044</v>
      </c>
      <c r="G58" s="534">
        <f>+H58+M58</f>
        <v>0</v>
      </c>
      <c r="H58" s="535">
        <f>+I58+J58+K58+L58</f>
        <v>0</v>
      </c>
      <c r="I58" s="1320"/>
      <c r="J58" s="1321"/>
      <c r="K58" s="1321"/>
      <c r="L58" s="1322"/>
      <c r="M58" s="535">
        <f>+N58+O58+P58</f>
        <v>0</v>
      </c>
      <c r="N58" s="1320"/>
      <c r="O58" s="1321"/>
      <c r="P58" s="1322"/>
      <c r="Q58" s="523"/>
      <c r="R58" s="523"/>
    </row>
    <row r="59" spans="1:18">
      <c r="A59" s="590">
        <f t="shared" si="3"/>
        <v>53</v>
      </c>
      <c r="B59" s="884">
        <v>6</v>
      </c>
      <c r="C59" s="1341" t="s">
        <v>690</v>
      </c>
      <c r="D59" s="1030" t="s">
        <v>689</v>
      </c>
      <c r="E59" s="1342" t="s">
        <v>1265</v>
      </c>
      <c r="F59" s="1032" t="s">
        <v>646</v>
      </c>
      <c r="G59" s="534">
        <f t="shared" ref="G59" si="4">+H59+M59</f>
        <v>0</v>
      </c>
      <c r="H59" s="535">
        <f t="shared" ref="H59" si="5">+I59+J59+K59+L59</f>
        <v>0</v>
      </c>
      <c r="I59" s="1320"/>
      <c r="J59" s="1321"/>
      <c r="K59" s="1321"/>
      <c r="L59" s="1322"/>
      <c r="M59" s="535">
        <f t="shared" ref="M59" si="6">+N59+O59+P59</f>
        <v>0</v>
      </c>
      <c r="N59" s="1320"/>
      <c r="O59" s="1321"/>
      <c r="P59" s="1322"/>
      <c r="Q59" s="523"/>
      <c r="R59" s="523"/>
    </row>
    <row r="60" spans="1:18">
      <c r="A60" s="590">
        <f t="shared" si="3"/>
        <v>54</v>
      </c>
      <c r="B60" s="884">
        <v>6</v>
      </c>
      <c r="C60" s="1341" t="s">
        <v>690</v>
      </c>
      <c r="D60" s="1030" t="s">
        <v>689</v>
      </c>
      <c r="E60" s="1342" t="s">
        <v>1265</v>
      </c>
      <c r="F60" s="1032" t="s">
        <v>647</v>
      </c>
      <c r="G60" s="534">
        <f t="shared" ref="G60" si="7">+H60+M60</f>
        <v>0</v>
      </c>
      <c r="H60" s="535">
        <f t="shared" ref="H60" si="8">+I60+J60+K60+L60</f>
        <v>0</v>
      </c>
      <c r="I60" s="1320"/>
      <c r="J60" s="1321"/>
      <c r="K60" s="1321"/>
      <c r="L60" s="1322"/>
      <c r="M60" s="535">
        <f t="shared" ref="M60" si="9">+N60+O60+P60</f>
        <v>0</v>
      </c>
      <c r="N60" s="1320"/>
      <c r="O60" s="1321"/>
      <c r="P60" s="1322"/>
      <c r="Q60" s="523"/>
      <c r="R60" s="523"/>
    </row>
    <row r="61" spans="1:18">
      <c r="A61" s="590">
        <f t="shared" si="3"/>
        <v>55</v>
      </c>
      <c r="B61" s="885">
        <v>6</v>
      </c>
      <c r="C61" s="1341" t="s">
        <v>690</v>
      </c>
      <c r="D61" s="1030" t="s">
        <v>689</v>
      </c>
      <c r="E61" s="1342" t="s">
        <v>1265</v>
      </c>
      <c r="F61" s="1032" t="s">
        <v>648</v>
      </c>
      <c r="G61" s="534">
        <f t="shared" ref="G61" si="10">+H61+M61</f>
        <v>0</v>
      </c>
      <c r="H61" s="535">
        <f t="shared" ref="H61" si="11">+I61+J61+K61+L61</f>
        <v>0</v>
      </c>
      <c r="I61" s="1320"/>
      <c r="J61" s="1321"/>
      <c r="K61" s="1321"/>
      <c r="L61" s="1322"/>
      <c r="M61" s="535">
        <f t="shared" ref="M61" si="12">+N61+O61+P61</f>
        <v>0</v>
      </c>
      <c r="N61" s="1320"/>
      <c r="O61" s="1321"/>
      <c r="P61" s="1322"/>
      <c r="Q61" s="523"/>
      <c r="R61" s="523"/>
    </row>
    <row r="62" spans="1:18">
      <c r="A62" s="590">
        <f t="shared" si="3"/>
        <v>56</v>
      </c>
      <c r="B62" s="885">
        <v>7</v>
      </c>
      <c r="C62" s="1341" t="s">
        <v>1302</v>
      </c>
      <c r="D62" s="1030" t="s">
        <v>1315</v>
      </c>
      <c r="E62" s="1342" t="s">
        <v>1265</v>
      </c>
      <c r="F62" s="1032" t="s">
        <v>1314</v>
      </c>
      <c r="G62" s="534">
        <f t="shared" ref="G62" si="13">+H62+M62</f>
        <v>0</v>
      </c>
      <c r="H62" s="535">
        <f t="shared" ref="H62" si="14">+I62+J62+K62+L62</f>
        <v>0</v>
      </c>
      <c r="I62" s="1320"/>
      <c r="J62" s="1321"/>
      <c r="K62" s="1321"/>
      <c r="L62" s="1322"/>
      <c r="M62" s="535">
        <f t="shared" ref="M62" si="15">+N62+O62+P62</f>
        <v>0</v>
      </c>
      <c r="N62" s="1320"/>
      <c r="O62" s="1321"/>
      <c r="P62" s="1322"/>
      <c r="Q62" s="523"/>
      <c r="R62" s="523"/>
    </row>
    <row r="63" spans="1:18">
      <c r="A63" s="590">
        <f t="shared" si="3"/>
        <v>57</v>
      </c>
      <c r="B63" s="885">
        <v>8</v>
      </c>
      <c r="C63" s="1341" t="s">
        <v>1052</v>
      </c>
      <c r="D63" s="1030" t="s">
        <v>1054</v>
      </c>
      <c r="E63" s="1342" t="s">
        <v>1265</v>
      </c>
      <c r="F63" s="1032" t="s">
        <v>1053</v>
      </c>
      <c r="G63" s="534">
        <f t="shared" ref="G63" si="16">+H63+M63</f>
        <v>0</v>
      </c>
      <c r="H63" s="535">
        <f t="shared" ref="H63" si="17">+I63+J63+K63+L63</f>
        <v>0</v>
      </c>
      <c r="I63" s="1320"/>
      <c r="J63" s="1321"/>
      <c r="K63" s="1321"/>
      <c r="L63" s="1322"/>
      <c r="M63" s="535">
        <f t="shared" ref="M63" si="18">+N63+O63+P63</f>
        <v>0</v>
      </c>
      <c r="N63" s="1320"/>
      <c r="O63" s="1321"/>
      <c r="P63" s="1322"/>
      <c r="Q63" s="523"/>
      <c r="R63" s="523"/>
    </row>
    <row r="64" spans="1:18">
      <c r="A64" s="590">
        <f t="shared" si="3"/>
        <v>58</v>
      </c>
      <c r="B64" s="885">
        <v>6</v>
      </c>
      <c r="C64" s="1341" t="s">
        <v>1072</v>
      </c>
      <c r="D64" s="1030" t="s">
        <v>1074</v>
      </c>
      <c r="E64" s="1342" t="s">
        <v>1276</v>
      </c>
      <c r="F64" s="1032" t="s">
        <v>1074</v>
      </c>
      <c r="G64" s="534">
        <f t="shared" ref="G64" si="19">+H64+M64</f>
        <v>0</v>
      </c>
      <c r="H64" s="535">
        <f t="shared" ref="H64" si="20">+I64+J64+K64+L64</f>
        <v>0</v>
      </c>
      <c r="I64" s="1320"/>
      <c r="J64" s="1321"/>
      <c r="K64" s="1321"/>
      <c r="L64" s="1322"/>
      <c r="M64" s="535">
        <f t="shared" ref="M64" si="21">+N64+O64+P64</f>
        <v>0</v>
      </c>
      <c r="N64" s="1320"/>
      <c r="O64" s="1321"/>
      <c r="P64" s="1322"/>
      <c r="Q64" s="523"/>
      <c r="R64" s="523"/>
    </row>
    <row r="65" spans="1:18">
      <c r="A65" s="590">
        <f t="shared" si="3"/>
        <v>59</v>
      </c>
      <c r="B65" s="885">
        <v>6</v>
      </c>
      <c r="C65" s="1341" t="s">
        <v>685</v>
      </c>
      <c r="D65" s="1030" t="s">
        <v>686</v>
      </c>
      <c r="E65" s="1342" t="s">
        <v>1265</v>
      </c>
      <c r="F65" s="1032" t="s">
        <v>1047</v>
      </c>
      <c r="G65" s="534">
        <f t="shared" ref="G65" si="22">+H65+M65</f>
        <v>0</v>
      </c>
      <c r="H65" s="535">
        <f t="shared" ref="H65" si="23">+I65+J65+K65+L65</f>
        <v>0</v>
      </c>
      <c r="I65" s="1320"/>
      <c r="J65" s="1321"/>
      <c r="K65" s="1321"/>
      <c r="L65" s="1322"/>
      <c r="M65" s="535">
        <f t="shared" ref="M65" si="24">+N65+O65+P65</f>
        <v>0</v>
      </c>
      <c r="N65" s="1320"/>
      <c r="O65" s="1321"/>
      <c r="P65" s="1322"/>
      <c r="Q65" s="523"/>
      <c r="R65" s="523"/>
    </row>
    <row r="66" spans="1:18">
      <c r="A66" s="590">
        <f t="shared" si="3"/>
        <v>60</v>
      </c>
      <c r="B66" s="885">
        <v>6</v>
      </c>
      <c r="C66" s="1341" t="s">
        <v>691</v>
      </c>
      <c r="D66" s="1030" t="s">
        <v>692</v>
      </c>
      <c r="E66" s="1342" t="s">
        <v>1265</v>
      </c>
      <c r="F66" s="1032" t="s">
        <v>1049</v>
      </c>
      <c r="G66" s="534">
        <f t="shared" ref="G66:G77" si="25">+H66+M66</f>
        <v>0</v>
      </c>
      <c r="H66" s="535">
        <f t="shared" ref="H66:H77" si="26">+I66+J66+K66+L66</f>
        <v>0</v>
      </c>
      <c r="I66" s="1320"/>
      <c r="J66" s="1321"/>
      <c r="K66" s="1321"/>
      <c r="L66" s="1322"/>
      <c r="M66" s="535">
        <f t="shared" ref="M66:M77" si="27">+N66+O66+P66</f>
        <v>0</v>
      </c>
      <c r="N66" s="1320"/>
      <c r="O66" s="1321"/>
      <c r="P66" s="1322"/>
      <c r="Q66" s="523"/>
      <c r="R66" s="523"/>
    </row>
    <row r="67" spans="1:18">
      <c r="A67" s="590">
        <f t="shared" si="3"/>
        <v>61</v>
      </c>
      <c r="B67" s="885">
        <v>6</v>
      </c>
      <c r="C67" s="1341" t="s">
        <v>691</v>
      </c>
      <c r="D67" s="1030" t="s">
        <v>698</v>
      </c>
      <c r="E67" s="1342" t="s">
        <v>1265</v>
      </c>
      <c r="F67" s="1032" t="s">
        <v>649</v>
      </c>
      <c r="G67" s="534">
        <f t="shared" si="25"/>
        <v>0</v>
      </c>
      <c r="H67" s="535">
        <f t="shared" si="26"/>
        <v>0</v>
      </c>
      <c r="I67" s="1320"/>
      <c r="J67" s="1321"/>
      <c r="K67" s="1321"/>
      <c r="L67" s="1322"/>
      <c r="M67" s="535">
        <f t="shared" si="27"/>
        <v>0</v>
      </c>
      <c r="N67" s="1320"/>
      <c r="O67" s="1321"/>
      <c r="P67" s="1322"/>
      <c r="Q67" s="523"/>
      <c r="R67" s="523"/>
    </row>
    <row r="68" spans="1:18">
      <c r="A68" s="590">
        <f t="shared" si="3"/>
        <v>62</v>
      </c>
      <c r="B68" s="885">
        <v>7</v>
      </c>
      <c r="C68" s="1341" t="s">
        <v>713</v>
      </c>
      <c r="D68" s="1030" t="s">
        <v>1351</v>
      </c>
      <c r="E68" s="1342" t="s">
        <v>1268</v>
      </c>
      <c r="F68" s="1032" t="s">
        <v>1352</v>
      </c>
      <c r="G68" s="534">
        <f t="shared" ref="G68" si="28">+H68+M68</f>
        <v>0</v>
      </c>
      <c r="H68" s="535">
        <f t="shared" ref="H68" si="29">+I68+J68+K68+L68</f>
        <v>0</v>
      </c>
      <c r="I68" s="1320"/>
      <c r="J68" s="1321"/>
      <c r="K68" s="1321"/>
      <c r="L68" s="1322"/>
      <c r="M68" s="535">
        <f t="shared" ref="M68" si="30">+N68+O68+P68</f>
        <v>0</v>
      </c>
      <c r="N68" s="1320"/>
      <c r="O68" s="1321"/>
      <c r="P68" s="1322"/>
      <c r="Q68" s="523"/>
      <c r="R68" s="523"/>
    </row>
    <row r="69" spans="1:18">
      <c r="A69" s="590">
        <f t="shared" si="3"/>
        <v>63</v>
      </c>
      <c r="B69" s="885">
        <v>7</v>
      </c>
      <c r="C69" s="1341" t="s">
        <v>1296</v>
      </c>
      <c r="D69" s="1030" t="s">
        <v>1294</v>
      </c>
      <c r="E69" s="1342" t="s">
        <v>1265</v>
      </c>
      <c r="F69" s="1032" t="s">
        <v>1353</v>
      </c>
      <c r="G69" s="534">
        <f t="shared" si="25"/>
        <v>0</v>
      </c>
      <c r="H69" s="535">
        <f t="shared" si="26"/>
        <v>0</v>
      </c>
      <c r="I69" s="1320"/>
      <c r="J69" s="1321"/>
      <c r="K69" s="1321"/>
      <c r="L69" s="1322"/>
      <c r="M69" s="535">
        <f t="shared" si="27"/>
        <v>0</v>
      </c>
      <c r="N69" s="1320"/>
      <c r="O69" s="1321"/>
      <c r="P69" s="1322"/>
      <c r="Q69" s="523"/>
      <c r="R69" s="523"/>
    </row>
    <row r="70" spans="1:18">
      <c r="A70" s="590">
        <f t="shared" si="3"/>
        <v>64</v>
      </c>
      <c r="B70" s="885">
        <v>7</v>
      </c>
      <c r="C70" s="1341" t="s">
        <v>1302</v>
      </c>
      <c r="D70" s="1030" t="s">
        <v>1355</v>
      </c>
      <c r="E70" s="1342" t="s">
        <v>1265</v>
      </c>
      <c r="F70" s="1032" t="s">
        <v>1354</v>
      </c>
      <c r="G70" s="534">
        <f t="shared" ref="G70" si="31">+H70+M70</f>
        <v>0</v>
      </c>
      <c r="H70" s="535">
        <f t="shared" ref="H70" si="32">+I70+J70+K70+L70</f>
        <v>0</v>
      </c>
      <c r="I70" s="1320"/>
      <c r="J70" s="1321"/>
      <c r="K70" s="1321"/>
      <c r="L70" s="1322"/>
      <c r="M70" s="535">
        <f t="shared" ref="M70" si="33">+N70+O70+P70</f>
        <v>0</v>
      </c>
      <c r="N70" s="1320"/>
      <c r="O70" s="1321"/>
      <c r="P70" s="1322"/>
      <c r="Q70" s="523"/>
      <c r="R70" s="523"/>
    </row>
    <row r="71" spans="1:18">
      <c r="A71" s="590">
        <f t="shared" si="3"/>
        <v>65</v>
      </c>
      <c r="B71" s="885">
        <v>7</v>
      </c>
      <c r="C71" s="1341" t="s">
        <v>1356</v>
      </c>
      <c r="D71" s="1030" t="s">
        <v>1357</v>
      </c>
      <c r="E71" s="1342" t="s">
        <v>1265</v>
      </c>
      <c r="F71" s="1032" t="s">
        <v>1358</v>
      </c>
      <c r="G71" s="534">
        <f t="shared" si="25"/>
        <v>0</v>
      </c>
      <c r="H71" s="535">
        <f t="shared" si="26"/>
        <v>0</v>
      </c>
      <c r="I71" s="1320"/>
      <c r="J71" s="1321"/>
      <c r="K71" s="1321"/>
      <c r="L71" s="1322"/>
      <c r="M71" s="535">
        <f t="shared" si="27"/>
        <v>0</v>
      </c>
      <c r="N71" s="1320"/>
      <c r="O71" s="1321"/>
      <c r="P71" s="1322"/>
      <c r="Q71" s="523"/>
      <c r="R71" s="523"/>
    </row>
    <row r="72" spans="1:18">
      <c r="A72" s="590">
        <f t="shared" si="3"/>
        <v>66</v>
      </c>
      <c r="B72" s="885">
        <v>7</v>
      </c>
      <c r="C72" s="1341" t="s">
        <v>1359</v>
      </c>
      <c r="D72" s="1030" t="s">
        <v>1360</v>
      </c>
      <c r="E72" s="1342" t="s">
        <v>1265</v>
      </c>
      <c r="F72" s="1032" t="s">
        <v>1365</v>
      </c>
      <c r="G72" s="534">
        <f t="shared" ref="G72" si="34">+H72+M72</f>
        <v>0</v>
      </c>
      <c r="H72" s="535">
        <f t="shared" ref="H72" si="35">+I72+J72+K72+L72</f>
        <v>0</v>
      </c>
      <c r="I72" s="1320"/>
      <c r="J72" s="1321"/>
      <c r="K72" s="1321"/>
      <c r="L72" s="1322"/>
      <c r="M72" s="535">
        <f t="shared" ref="M72" si="36">+N72+O72+P72</f>
        <v>0</v>
      </c>
      <c r="N72" s="1320"/>
      <c r="O72" s="1321"/>
      <c r="P72" s="1322"/>
      <c r="Q72" s="523"/>
      <c r="R72" s="523"/>
    </row>
    <row r="73" spans="1:18">
      <c r="A73" s="590">
        <f t="shared" si="3"/>
        <v>67</v>
      </c>
      <c r="B73" s="885">
        <v>7</v>
      </c>
      <c r="C73" s="1341" t="s">
        <v>1361</v>
      </c>
      <c r="D73" s="1030" t="s">
        <v>1362</v>
      </c>
      <c r="E73" s="1342" t="s">
        <v>1363</v>
      </c>
      <c r="F73" s="1032" t="s">
        <v>1364</v>
      </c>
      <c r="G73" s="534">
        <f t="shared" si="25"/>
        <v>0</v>
      </c>
      <c r="H73" s="535">
        <f t="shared" si="26"/>
        <v>0</v>
      </c>
      <c r="I73" s="1320"/>
      <c r="J73" s="1321"/>
      <c r="K73" s="1321"/>
      <c r="L73" s="1322"/>
      <c r="M73" s="535">
        <f t="shared" si="27"/>
        <v>0</v>
      </c>
      <c r="N73" s="1320"/>
      <c r="O73" s="1321"/>
      <c r="P73" s="1322"/>
      <c r="Q73" s="523"/>
      <c r="R73" s="523"/>
    </row>
    <row r="74" spans="1:18">
      <c r="A74" s="590">
        <f t="shared" si="3"/>
        <v>68</v>
      </c>
      <c r="B74" s="885">
        <v>7</v>
      </c>
      <c r="C74" s="1341" t="s">
        <v>1052</v>
      </c>
      <c r="D74" s="1030" t="s">
        <v>1366</v>
      </c>
      <c r="E74" s="1342" t="s">
        <v>1265</v>
      </c>
      <c r="F74" s="1032" t="s">
        <v>1367</v>
      </c>
      <c r="G74" s="534">
        <f t="shared" ref="G74" si="37">+H74+M74</f>
        <v>0</v>
      </c>
      <c r="H74" s="535">
        <f t="shared" ref="H74" si="38">+I74+J74+K74+L74</f>
        <v>0</v>
      </c>
      <c r="I74" s="1320"/>
      <c r="J74" s="1321"/>
      <c r="K74" s="1321"/>
      <c r="L74" s="1322"/>
      <c r="M74" s="535">
        <f t="shared" ref="M74" si="39">+N74+O74+P74</f>
        <v>0</v>
      </c>
      <c r="N74" s="1320"/>
      <c r="O74" s="1321"/>
      <c r="P74" s="1322"/>
      <c r="Q74" s="523"/>
      <c r="R74" s="523"/>
    </row>
    <row r="75" spans="1:18">
      <c r="A75" s="590">
        <f t="shared" si="3"/>
        <v>69</v>
      </c>
      <c r="B75" s="885">
        <v>7</v>
      </c>
      <c r="C75" s="1341" t="s">
        <v>1296</v>
      </c>
      <c r="D75" s="1030" t="s">
        <v>1294</v>
      </c>
      <c r="E75" s="1342" t="s">
        <v>1265</v>
      </c>
      <c r="F75" s="1032" t="s">
        <v>1368</v>
      </c>
      <c r="G75" s="534">
        <f t="shared" si="25"/>
        <v>0</v>
      </c>
      <c r="H75" s="535">
        <f t="shared" si="26"/>
        <v>0</v>
      </c>
      <c r="I75" s="1320"/>
      <c r="J75" s="1321"/>
      <c r="K75" s="1321"/>
      <c r="L75" s="1322"/>
      <c r="M75" s="535">
        <f t="shared" si="27"/>
        <v>0</v>
      </c>
      <c r="N75" s="1320"/>
      <c r="O75" s="1321"/>
      <c r="P75" s="1322"/>
      <c r="Q75" s="523"/>
      <c r="R75" s="523"/>
    </row>
    <row r="76" spans="1:18">
      <c r="A76" s="590">
        <f t="shared" si="3"/>
        <v>70</v>
      </c>
      <c r="B76" s="885">
        <v>7</v>
      </c>
      <c r="C76" s="1341" t="s">
        <v>1369</v>
      </c>
      <c r="D76" s="1030" t="s">
        <v>1371</v>
      </c>
      <c r="E76" s="1342" t="s">
        <v>1265</v>
      </c>
      <c r="F76" s="1032" t="s">
        <v>1370</v>
      </c>
      <c r="G76" s="534">
        <f t="shared" ref="G76" si="40">+H76+M76</f>
        <v>0</v>
      </c>
      <c r="H76" s="535">
        <f t="shared" ref="H76" si="41">+I76+J76+K76+L76</f>
        <v>0</v>
      </c>
      <c r="I76" s="1320"/>
      <c r="J76" s="1321"/>
      <c r="K76" s="1321"/>
      <c r="L76" s="1322"/>
      <c r="M76" s="535">
        <f t="shared" ref="M76" si="42">+N76+O76+P76</f>
        <v>0</v>
      </c>
      <c r="N76" s="1320"/>
      <c r="O76" s="1321"/>
      <c r="P76" s="1322"/>
      <c r="Q76" s="523"/>
      <c r="R76" s="523"/>
    </row>
    <row r="77" spans="1:18">
      <c r="A77" s="590">
        <f t="shared" si="3"/>
        <v>71</v>
      </c>
      <c r="B77" s="885">
        <v>7</v>
      </c>
      <c r="C77" s="1341" t="s">
        <v>1302</v>
      </c>
      <c r="D77" s="1030" t="s">
        <v>1303</v>
      </c>
      <c r="E77" s="1342" t="s">
        <v>1265</v>
      </c>
      <c r="F77" s="1032" t="s">
        <v>1372</v>
      </c>
      <c r="G77" s="534">
        <f t="shared" si="25"/>
        <v>0</v>
      </c>
      <c r="H77" s="535">
        <f t="shared" si="26"/>
        <v>0</v>
      </c>
      <c r="I77" s="1320"/>
      <c r="J77" s="1321"/>
      <c r="K77" s="1321"/>
      <c r="L77" s="1322"/>
      <c r="M77" s="535">
        <f t="shared" si="27"/>
        <v>0</v>
      </c>
      <c r="N77" s="1320"/>
      <c r="O77" s="1321"/>
      <c r="P77" s="1322"/>
      <c r="Q77" s="523"/>
      <c r="R77" s="523"/>
    </row>
    <row r="78" spans="1:18">
      <c r="A78" s="590">
        <f t="shared" si="3"/>
        <v>72</v>
      </c>
      <c r="B78" s="885">
        <v>7</v>
      </c>
      <c r="C78" s="1341" t="s">
        <v>1359</v>
      </c>
      <c r="D78" s="1030" t="s">
        <v>1373</v>
      </c>
      <c r="E78" s="1342" t="s">
        <v>1265</v>
      </c>
      <c r="F78" s="1032" t="s">
        <v>1374</v>
      </c>
      <c r="G78" s="534">
        <f t="shared" ref="G78" si="43">+H78+M78</f>
        <v>0</v>
      </c>
      <c r="H78" s="535">
        <f t="shared" ref="H78" si="44">+I78+J78+K78+L78</f>
        <v>0</v>
      </c>
      <c r="I78" s="1320"/>
      <c r="J78" s="1321"/>
      <c r="K78" s="1321"/>
      <c r="L78" s="1322"/>
      <c r="M78" s="535">
        <f t="shared" ref="M78" si="45">+N78+O78+P78</f>
        <v>0</v>
      </c>
      <c r="N78" s="1320"/>
      <c r="O78" s="1321"/>
      <c r="P78" s="1322"/>
      <c r="Q78" s="523"/>
      <c r="R78" s="523"/>
    </row>
    <row r="79" spans="1:18" ht="12.75" thickBot="1">
      <c r="A79" s="590">
        <f t="shared" si="3"/>
        <v>73</v>
      </c>
      <c r="B79" s="885">
        <v>8</v>
      </c>
      <c r="C79" s="1341" t="s">
        <v>680</v>
      </c>
      <c r="D79" s="1030" t="s">
        <v>679</v>
      </c>
      <c r="E79" s="1342" t="s">
        <v>1265</v>
      </c>
      <c r="F79" s="1032" t="s">
        <v>644</v>
      </c>
      <c r="G79" s="534">
        <f t="shared" si="0"/>
        <v>0</v>
      </c>
      <c r="H79" s="535">
        <f t="shared" si="1"/>
        <v>0</v>
      </c>
      <c r="I79" s="1320"/>
      <c r="J79" s="1321"/>
      <c r="K79" s="1321"/>
      <c r="L79" s="1322"/>
      <c r="M79" s="535">
        <f t="shared" si="2"/>
        <v>0</v>
      </c>
      <c r="N79" s="1320"/>
      <c r="O79" s="1321"/>
      <c r="P79" s="1322"/>
      <c r="Q79" s="523"/>
      <c r="R79" s="523"/>
    </row>
    <row r="80" spans="1:18" s="521" customFormat="1" ht="12.75" thickBot="1">
      <c r="A80" s="586" t="s">
        <v>596</v>
      </c>
      <c r="B80" s="886"/>
      <c r="C80" s="1391" t="s">
        <v>411</v>
      </c>
      <c r="D80" s="1392"/>
      <c r="E80" s="1392"/>
      <c r="F80" s="1393"/>
      <c r="G80" s="538">
        <f t="shared" ref="G80:P80" si="46">SUM(G7:G79)</f>
        <v>1448242</v>
      </c>
      <c r="H80" s="422">
        <f t="shared" si="46"/>
        <v>1410493</v>
      </c>
      <c r="I80" s="539">
        <f t="shared" si="46"/>
        <v>959566</v>
      </c>
      <c r="J80" s="377">
        <f t="shared" si="46"/>
        <v>371480</v>
      </c>
      <c r="K80" s="377">
        <f t="shared" si="46"/>
        <v>73647</v>
      </c>
      <c r="L80" s="364">
        <f t="shared" si="46"/>
        <v>5800</v>
      </c>
      <c r="M80" s="422">
        <f t="shared" si="46"/>
        <v>37749</v>
      </c>
      <c r="N80" s="539">
        <f t="shared" si="46"/>
        <v>27399</v>
      </c>
      <c r="O80" s="377">
        <f t="shared" si="46"/>
        <v>10350</v>
      </c>
      <c r="P80" s="364">
        <f t="shared" si="46"/>
        <v>0</v>
      </c>
      <c r="Q80" s="523"/>
      <c r="R80" s="523"/>
    </row>
    <row r="81" spans="1:18">
      <c r="A81" s="590">
        <f>A79+1</f>
        <v>74</v>
      </c>
      <c r="B81" s="883">
        <v>9</v>
      </c>
      <c r="C81" s="1337" t="s">
        <v>1045</v>
      </c>
      <c r="D81" s="1028" t="s">
        <v>1044</v>
      </c>
      <c r="E81" s="1338" t="s">
        <v>1275</v>
      </c>
      <c r="F81" s="1344" t="s">
        <v>1114</v>
      </c>
      <c r="G81" s="518">
        <f t="shared" ref="G81:G86" si="47">+H81+M81</f>
        <v>0</v>
      </c>
      <c r="H81" s="519">
        <f t="shared" ref="H81:H86" si="48">+I81+J81+K81+L81</f>
        <v>0</v>
      </c>
      <c r="I81" s="1320"/>
      <c r="J81" s="1321"/>
      <c r="K81" s="1321"/>
      <c r="L81" s="1322"/>
      <c r="M81" s="519">
        <f t="shared" ref="M81:M86" si="49">+N81+O81+P81</f>
        <v>0</v>
      </c>
      <c r="N81" s="1320"/>
      <c r="O81" s="1321"/>
      <c r="P81" s="1322"/>
      <c r="Q81" s="523"/>
      <c r="R81" s="523"/>
    </row>
    <row r="82" spans="1:18">
      <c r="A82" s="590">
        <f>+A81+1</f>
        <v>75</v>
      </c>
      <c r="B82" s="884">
        <v>10</v>
      </c>
      <c r="C82" s="1340" t="s">
        <v>743</v>
      </c>
      <c r="D82" s="1022" t="s">
        <v>744</v>
      </c>
      <c r="E82" s="1339" t="s">
        <v>1265</v>
      </c>
      <c r="F82" s="1345" t="s">
        <v>665</v>
      </c>
      <c r="G82" s="530">
        <f t="shared" si="47"/>
        <v>1500</v>
      </c>
      <c r="H82" s="531">
        <f t="shared" si="48"/>
        <v>0</v>
      </c>
      <c r="I82" s="1320"/>
      <c r="J82" s="1324"/>
      <c r="K82" s="1324"/>
      <c r="L82" s="1325"/>
      <c r="M82" s="531">
        <f t="shared" si="49"/>
        <v>1500</v>
      </c>
      <c r="N82" s="1323"/>
      <c r="O82" s="1324"/>
      <c r="P82" s="1325">
        <v>1500</v>
      </c>
      <c r="Q82" s="523"/>
      <c r="R82" s="523"/>
    </row>
    <row r="83" spans="1:18">
      <c r="A83" s="590">
        <f t="shared" si="3"/>
        <v>76</v>
      </c>
      <c r="B83" s="883">
        <v>10</v>
      </c>
      <c r="C83" s="1337" t="s">
        <v>742</v>
      </c>
      <c r="D83" s="1028" t="s">
        <v>1037</v>
      </c>
      <c r="E83" s="1339" t="s">
        <v>1277</v>
      </c>
      <c r="F83" s="1346" t="s">
        <v>664</v>
      </c>
      <c r="G83" s="530">
        <f t="shared" si="47"/>
        <v>350000</v>
      </c>
      <c r="H83" s="531">
        <f t="shared" si="48"/>
        <v>0</v>
      </c>
      <c r="I83" s="1320"/>
      <c r="J83" s="1324"/>
      <c r="K83" s="1324"/>
      <c r="L83" s="1325"/>
      <c r="M83" s="531">
        <f t="shared" si="49"/>
        <v>350000</v>
      </c>
      <c r="N83" s="1323">
        <v>350000</v>
      </c>
      <c r="O83" s="1324"/>
      <c r="P83" s="1325"/>
      <c r="Q83" s="523"/>
      <c r="R83" s="523"/>
    </row>
    <row r="84" spans="1:18">
      <c r="A84" s="590">
        <f t="shared" si="3"/>
        <v>77</v>
      </c>
      <c r="B84" s="884">
        <v>10</v>
      </c>
      <c r="C84" s="1340" t="s">
        <v>746</v>
      </c>
      <c r="D84" s="1022" t="s">
        <v>745</v>
      </c>
      <c r="E84" s="1339" t="s">
        <v>1265</v>
      </c>
      <c r="F84" s="1346" t="s">
        <v>673</v>
      </c>
      <c r="G84" s="530">
        <f t="shared" si="47"/>
        <v>0</v>
      </c>
      <c r="H84" s="531">
        <f t="shared" si="48"/>
        <v>0</v>
      </c>
      <c r="I84" s="1320"/>
      <c r="J84" s="1324"/>
      <c r="K84" s="1324"/>
      <c r="L84" s="1325"/>
      <c r="M84" s="531">
        <f t="shared" si="49"/>
        <v>0</v>
      </c>
      <c r="N84" s="1323"/>
      <c r="O84" s="1324"/>
      <c r="P84" s="1325"/>
      <c r="Q84" s="523"/>
      <c r="R84" s="523"/>
    </row>
    <row r="85" spans="1:18">
      <c r="A85" s="590">
        <f t="shared" si="3"/>
        <v>78</v>
      </c>
      <c r="B85" s="883">
        <v>10</v>
      </c>
      <c r="C85" s="1337" t="s">
        <v>1050</v>
      </c>
      <c r="D85" s="1028" t="s">
        <v>1051</v>
      </c>
      <c r="E85" s="1339" t="s">
        <v>1265</v>
      </c>
      <c r="F85" s="1346" t="s">
        <v>663</v>
      </c>
      <c r="G85" s="530">
        <f t="shared" si="47"/>
        <v>0</v>
      </c>
      <c r="H85" s="531">
        <f t="shared" si="48"/>
        <v>0</v>
      </c>
      <c r="I85" s="1320"/>
      <c r="J85" s="1324"/>
      <c r="K85" s="1321"/>
      <c r="L85" s="1325"/>
      <c r="M85" s="531">
        <f t="shared" si="49"/>
        <v>0</v>
      </c>
      <c r="N85" s="1323"/>
      <c r="O85" s="1321"/>
      <c r="P85" s="1325"/>
      <c r="Q85" s="523"/>
      <c r="R85" s="523"/>
    </row>
    <row r="86" spans="1:18" ht="12.75" thickBot="1">
      <c r="A86" s="590">
        <f t="shared" si="3"/>
        <v>79</v>
      </c>
      <c r="B86" s="884">
        <v>9</v>
      </c>
      <c r="C86" s="1340" t="s">
        <v>696</v>
      </c>
      <c r="D86" s="1022" t="s">
        <v>697</v>
      </c>
      <c r="E86" s="1339" t="s">
        <v>1265</v>
      </c>
      <c r="F86" s="1346" t="s">
        <v>695</v>
      </c>
      <c r="G86" s="530">
        <f t="shared" si="47"/>
        <v>0</v>
      </c>
      <c r="H86" s="531">
        <f t="shared" si="48"/>
        <v>0</v>
      </c>
      <c r="I86" s="1320"/>
      <c r="J86" s="1324"/>
      <c r="K86" s="1324"/>
      <c r="L86" s="1325"/>
      <c r="M86" s="531">
        <f t="shared" si="49"/>
        <v>0</v>
      </c>
      <c r="N86" s="1323"/>
      <c r="O86" s="1324"/>
      <c r="P86" s="1325"/>
      <c r="Q86" s="523"/>
      <c r="R86" s="523"/>
    </row>
    <row r="87" spans="1:18" s="521" customFormat="1" ht="12.75" thickBot="1">
      <c r="A87" s="586" t="s">
        <v>597</v>
      </c>
      <c r="B87" s="886"/>
      <c r="C87" s="1391" t="s">
        <v>412</v>
      </c>
      <c r="D87" s="1392"/>
      <c r="E87" s="1392"/>
      <c r="F87" s="1393"/>
      <c r="G87" s="538">
        <f>SUM(G81:G86)</f>
        <v>351500</v>
      </c>
      <c r="H87" s="422">
        <f t="shared" ref="H87:P87" si="50">SUM(H81:H86)</f>
        <v>0</v>
      </c>
      <c r="I87" s="539">
        <f t="shared" si="50"/>
        <v>0</v>
      </c>
      <c r="J87" s="377">
        <f t="shared" si="50"/>
        <v>0</v>
      </c>
      <c r="K87" s="377">
        <f t="shared" si="50"/>
        <v>0</v>
      </c>
      <c r="L87" s="364">
        <f t="shared" si="50"/>
        <v>0</v>
      </c>
      <c r="M87" s="422">
        <f t="shared" si="50"/>
        <v>351500</v>
      </c>
      <c r="N87" s="539">
        <f t="shared" si="50"/>
        <v>350000</v>
      </c>
      <c r="O87" s="377">
        <f t="shared" si="50"/>
        <v>0</v>
      </c>
      <c r="P87" s="364">
        <f t="shared" si="50"/>
        <v>1500</v>
      </c>
      <c r="Q87" s="523"/>
      <c r="R87" s="523"/>
    </row>
    <row r="88" spans="1:18" s="525" customFormat="1" ht="12.75" customHeight="1" thickBot="1">
      <c r="A88" s="590">
        <f>+A86+1</f>
        <v>80</v>
      </c>
      <c r="B88" s="884">
        <v>11</v>
      </c>
      <c r="C88" s="1340" t="s">
        <v>19</v>
      </c>
      <c r="D88" s="1347" t="s">
        <v>19</v>
      </c>
      <c r="E88" s="1338" t="s">
        <v>19</v>
      </c>
      <c r="F88" s="1347" t="s">
        <v>19</v>
      </c>
      <c r="G88" s="518">
        <f>+H88+M88</f>
        <v>0</v>
      </c>
      <c r="H88" s="519">
        <f>+I88+J88+K88+L88</f>
        <v>0</v>
      </c>
      <c r="I88" s="1320"/>
      <c r="J88" s="1324"/>
      <c r="K88" s="1324"/>
      <c r="L88" s="1325"/>
      <c r="M88" s="519">
        <f>+N88+O88+P88</f>
        <v>0</v>
      </c>
      <c r="N88" s="1323"/>
      <c r="O88" s="1324"/>
      <c r="P88" s="1325"/>
      <c r="Q88" s="523"/>
      <c r="R88" s="523"/>
    </row>
    <row r="89" spans="1:18" s="521" customFormat="1" ht="12.75" thickBot="1">
      <c r="A89" s="586" t="s">
        <v>598</v>
      </c>
      <c r="B89" s="886"/>
      <c r="C89" s="1391" t="s">
        <v>413</v>
      </c>
      <c r="D89" s="1392"/>
      <c r="E89" s="1392"/>
      <c r="F89" s="1393"/>
      <c r="G89" s="538">
        <f t="shared" ref="G89:P89" si="51">SUM(G88:G88)</f>
        <v>0</v>
      </c>
      <c r="H89" s="422">
        <f t="shared" si="51"/>
        <v>0</v>
      </c>
      <c r="I89" s="539">
        <f t="shared" si="51"/>
        <v>0</v>
      </c>
      <c r="J89" s="377">
        <f t="shared" si="51"/>
        <v>0</v>
      </c>
      <c r="K89" s="377">
        <f t="shared" si="51"/>
        <v>0</v>
      </c>
      <c r="L89" s="364">
        <f t="shared" si="51"/>
        <v>0</v>
      </c>
      <c r="M89" s="422">
        <f t="shared" si="51"/>
        <v>0</v>
      </c>
      <c r="N89" s="539">
        <f t="shared" si="51"/>
        <v>0</v>
      </c>
      <c r="O89" s="377">
        <f t="shared" si="51"/>
        <v>0</v>
      </c>
      <c r="P89" s="364">
        <f t="shared" si="51"/>
        <v>0</v>
      </c>
      <c r="Q89" s="523"/>
      <c r="R89" s="523"/>
    </row>
    <row r="90" spans="1:18" s="521" customFormat="1" ht="12.75" thickBot="1">
      <c r="A90" s="587" t="s">
        <v>23</v>
      </c>
      <c r="B90" s="887"/>
      <c r="C90" s="1394" t="s">
        <v>414</v>
      </c>
      <c r="D90" s="1395"/>
      <c r="E90" s="1395"/>
      <c r="F90" s="1396"/>
      <c r="G90" s="541">
        <f t="shared" ref="G90:P90" si="52">+G80+G87+G89</f>
        <v>1799742</v>
      </c>
      <c r="H90" s="541">
        <f t="shared" si="52"/>
        <v>1410493</v>
      </c>
      <c r="I90" s="542">
        <f t="shared" si="52"/>
        <v>959566</v>
      </c>
      <c r="J90" s="543">
        <f t="shared" si="52"/>
        <v>371480</v>
      </c>
      <c r="K90" s="543">
        <f t="shared" si="52"/>
        <v>73647</v>
      </c>
      <c r="L90" s="544">
        <f t="shared" si="52"/>
        <v>5800</v>
      </c>
      <c r="M90" s="541">
        <f t="shared" si="52"/>
        <v>389249</v>
      </c>
      <c r="N90" s="542">
        <f t="shared" si="52"/>
        <v>377399</v>
      </c>
      <c r="O90" s="543">
        <f t="shared" si="52"/>
        <v>10350</v>
      </c>
      <c r="P90" s="544">
        <f t="shared" si="52"/>
        <v>1500</v>
      </c>
      <c r="Q90" s="523"/>
      <c r="R90" s="523"/>
    </row>
    <row r="91" spans="1:18" ht="12.75" thickBot="1">
      <c r="A91" s="878"/>
      <c r="B91" s="888"/>
      <c r="C91" s="987"/>
      <c r="D91" s="584"/>
      <c r="E91" s="982"/>
      <c r="F91" s="545"/>
      <c r="G91" s="546"/>
      <c r="H91" s="547"/>
      <c r="I91" s="548"/>
      <c r="J91" s="549"/>
      <c r="K91" s="549"/>
      <c r="L91" s="550"/>
      <c r="M91" s="547"/>
      <c r="N91" s="548"/>
      <c r="O91" s="549"/>
      <c r="P91" s="550"/>
      <c r="Q91" s="523"/>
      <c r="R91" s="523"/>
    </row>
    <row r="92" spans="1:18" s="536" customFormat="1">
      <c r="A92" s="591">
        <f>A88+1</f>
        <v>81</v>
      </c>
      <c r="B92" s="889">
        <v>12</v>
      </c>
      <c r="C92" s="1348" t="s">
        <v>676</v>
      </c>
      <c r="D92" s="1042" t="s">
        <v>675</v>
      </c>
      <c r="E92" s="1349" t="s">
        <v>1265</v>
      </c>
      <c r="F92" s="1350" t="s">
        <v>1010</v>
      </c>
      <c r="G92" s="516">
        <f>+H92+M92</f>
        <v>0</v>
      </c>
      <c r="H92" s="517">
        <f>+I92+J92+K92+L92</f>
        <v>0</v>
      </c>
      <c r="I92" s="1326"/>
      <c r="J92" s="1327"/>
      <c r="K92" s="1327"/>
      <c r="L92" s="1328"/>
      <c r="M92" s="517">
        <f>+N92+O92+P92</f>
        <v>0</v>
      </c>
      <c r="N92" s="1326"/>
      <c r="O92" s="1327"/>
      <c r="P92" s="1328"/>
      <c r="Q92" s="523"/>
      <c r="R92" s="523"/>
    </row>
    <row r="93" spans="1:18" s="525" customFormat="1" ht="24">
      <c r="A93" s="590">
        <f>+A92+1</f>
        <v>82</v>
      </c>
      <c r="B93" s="884">
        <v>13</v>
      </c>
      <c r="C93" s="1340" t="s">
        <v>1052</v>
      </c>
      <c r="D93" s="1022" t="s">
        <v>1297</v>
      </c>
      <c r="E93" s="1338" t="s">
        <v>1265</v>
      </c>
      <c r="F93" s="1347" t="s">
        <v>1288</v>
      </c>
      <c r="G93" s="518">
        <f>+H93+M93</f>
        <v>0</v>
      </c>
      <c r="H93" s="519">
        <f>+I93+J93+K93+L93</f>
        <v>0</v>
      </c>
      <c r="I93" s="1323"/>
      <c r="J93" s="1324"/>
      <c r="K93" s="1324"/>
      <c r="L93" s="1325"/>
      <c r="M93" s="519">
        <f>+N93+O93+P93</f>
        <v>0</v>
      </c>
      <c r="N93" s="1323"/>
      <c r="O93" s="1324"/>
      <c r="P93" s="1325"/>
      <c r="Q93" s="523"/>
      <c r="R93" s="523"/>
    </row>
    <row r="94" spans="1:18">
      <c r="A94" s="590">
        <f t="shared" ref="A94:A96" si="53">+A93+1</f>
        <v>83</v>
      </c>
      <c r="B94" s="884">
        <v>14</v>
      </c>
      <c r="C94" s="1340" t="s">
        <v>710</v>
      </c>
      <c r="D94" s="1022" t="s">
        <v>709</v>
      </c>
      <c r="E94" s="1339" t="s">
        <v>1269</v>
      </c>
      <c r="F94" s="1345" t="s">
        <v>785</v>
      </c>
      <c r="G94" s="530">
        <f>+H94+M94</f>
        <v>8674</v>
      </c>
      <c r="H94" s="531">
        <f>+I94+J94+K94+L94</f>
        <v>8674</v>
      </c>
      <c r="I94" s="1323"/>
      <c r="J94" s="1324"/>
      <c r="K94" s="1324">
        <v>8674</v>
      </c>
      <c r="L94" s="1325"/>
      <c r="M94" s="531">
        <f>+N94+O94+P94</f>
        <v>0</v>
      </c>
      <c r="N94" s="1323"/>
      <c r="O94" s="1324"/>
      <c r="P94" s="1325"/>
      <c r="Q94" s="523"/>
      <c r="R94" s="523"/>
    </row>
    <row r="95" spans="1:18">
      <c r="A95" s="590">
        <f t="shared" si="53"/>
        <v>84</v>
      </c>
      <c r="B95" s="884">
        <v>14</v>
      </c>
      <c r="C95" s="1340" t="s">
        <v>710</v>
      </c>
      <c r="D95" s="1022" t="s">
        <v>709</v>
      </c>
      <c r="E95" s="1339" t="s">
        <v>1269</v>
      </c>
      <c r="F95" s="1345" t="s">
        <v>1055</v>
      </c>
      <c r="G95" s="530">
        <f>+H95+M95</f>
        <v>1000</v>
      </c>
      <c r="H95" s="531">
        <f>+I95+J95+K95+L95</f>
        <v>1000</v>
      </c>
      <c r="I95" s="1323"/>
      <c r="J95" s="1324"/>
      <c r="K95" s="1324">
        <v>1000</v>
      </c>
      <c r="L95" s="1325"/>
      <c r="M95" s="531">
        <f>+N95+O95+P95</f>
        <v>0</v>
      </c>
      <c r="N95" s="1323"/>
      <c r="O95" s="1324"/>
      <c r="P95" s="1325"/>
      <c r="Q95" s="523"/>
      <c r="R95" s="523"/>
    </row>
    <row r="96" spans="1:18" ht="12.75" thickBot="1">
      <c r="A96" s="590">
        <f t="shared" si="53"/>
        <v>85</v>
      </c>
      <c r="B96" s="884">
        <v>14</v>
      </c>
      <c r="C96" s="1340" t="s">
        <v>1017</v>
      </c>
      <c r="D96" s="1022" t="s">
        <v>1018</v>
      </c>
      <c r="E96" s="1339" t="s">
        <v>1265</v>
      </c>
      <c r="F96" s="1345" t="s">
        <v>1010</v>
      </c>
      <c r="G96" s="530">
        <f>+H96+M96</f>
        <v>0</v>
      </c>
      <c r="H96" s="531">
        <f>+I96+J96+K96+L96</f>
        <v>0</v>
      </c>
      <c r="I96" s="1323"/>
      <c r="J96" s="1324"/>
      <c r="K96" s="1324"/>
      <c r="L96" s="1325"/>
      <c r="M96" s="531">
        <f>+N96+O96+P96</f>
        <v>0</v>
      </c>
      <c r="N96" s="1323"/>
      <c r="O96" s="1324"/>
      <c r="P96" s="1325"/>
      <c r="Q96" s="523"/>
      <c r="R96" s="523"/>
    </row>
    <row r="97" spans="1:18" s="521" customFormat="1" ht="12.75" thickBot="1">
      <c r="A97" s="586" t="s">
        <v>599</v>
      </c>
      <c r="B97" s="886"/>
      <c r="C97" s="1391" t="s">
        <v>879</v>
      </c>
      <c r="D97" s="1392"/>
      <c r="E97" s="1392"/>
      <c r="F97" s="1393"/>
      <c r="G97" s="538">
        <f t="shared" ref="G97:P97" si="54">SUM(G92:G96)</f>
        <v>9674</v>
      </c>
      <c r="H97" s="422">
        <f t="shared" si="54"/>
        <v>9674</v>
      </c>
      <c r="I97" s="539">
        <f t="shared" si="54"/>
        <v>0</v>
      </c>
      <c r="J97" s="377">
        <f t="shared" si="54"/>
        <v>0</v>
      </c>
      <c r="K97" s="377">
        <f t="shared" si="54"/>
        <v>9674</v>
      </c>
      <c r="L97" s="364">
        <f t="shared" si="54"/>
        <v>0</v>
      </c>
      <c r="M97" s="422">
        <f t="shared" si="54"/>
        <v>0</v>
      </c>
      <c r="N97" s="539">
        <f t="shared" si="54"/>
        <v>0</v>
      </c>
      <c r="O97" s="377">
        <f t="shared" si="54"/>
        <v>0</v>
      </c>
      <c r="P97" s="364">
        <f t="shared" si="54"/>
        <v>0</v>
      </c>
      <c r="Q97" s="523"/>
      <c r="R97" s="523"/>
    </row>
    <row r="98" spans="1:18" s="536" customFormat="1">
      <c r="A98" s="590">
        <f>+A96+1</f>
        <v>86</v>
      </c>
      <c r="B98" s="884">
        <v>15</v>
      </c>
      <c r="C98" s="1340" t="s">
        <v>676</v>
      </c>
      <c r="D98" s="1022" t="s">
        <v>675</v>
      </c>
      <c r="E98" s="1339" t="s">
        <v>1278</v>
      </c>
      <c r="F98" s="1345" t="s">
        <v>417</v>
      </c>
      <c r="G98" s="530">
        <f>+H98+M98</f>
        <v>28850</v>
      </c>
      <c r="H98" s="531">
        <f>+I98+J98+K98+L98</f>
        <v>28850</v>
      </c>
      <c r="I98" s="1323"/>
      <c r="J98" s="1324"/>
      <c r="K98" s="1324">
        <v>28850</v>
      </c>
      <c r="L98" s="1325"/>
      <c r="M98" s="531">
        <f>+N98+O98+P98</f>
        <v>0</v>
      </c>
      <c r="N98" s="1323"/>
      <c r="O98" s="1324"/>
      <c r="P98" s="1325"/>
      <c r="Q98" s="523"/>
      <c r="R98" s="523"/>
    </row>
    <row r="99" spans="1:18" s="536" customFormat="1">
      <c r="A99" s="590">
        <f>+A98+1</f>
        <v>87</v>
      </c>
      <c r="B99" s="884">
        <v>16</v>
      </c>
      <c r="C99" s="1340" t="s">
        <v>1090</v>
      </c>
      <c r="D99" s="1022" t="s">
        <v>741</v>
      </c>
      <c r="E99" s="1339" t="s">
        <v>1265</v>
      </c>
      <c r="F99" s="1345" t="s">
        <v>656</v>
      </c>
      <c r="G99" s="530">
        <f>+H99+M99</f>
        <v>0</v>
      </c>
      <c r="H99" s="531">
        <f>+I99+J99+K99+L99</f>
        <v>0</v>
      </c>
      <c r="I99" s="1323"/>
      <c r="J99" s="1324"/>
      <c r="K99" s="1324"/>
      <c r="L99" s="1325"/>
      <c r="M99" s="531">
        <f>+N99+O99+P99</f>
        <v>0</v>
      </c>
      <c r="N99" s="1323"/>
      <c r="O99" s="1324"/>
      <c r="P99" s="1325"/>
      <c r="Q99" s="523"/>
      <c r="R99" s="523"/>
    </row>
    <row r="100" spans="1:18" s="536" customFormat="1" ht="12.75" thickBot="1">
      <c r="A100" s="590">
        <f>+A99+1</f>
        <v>88</v>
      </c>
      <c r="B100" s="884">
        <v>17</v>
      </c>
      <c r="C100" s="1340" t="s">
        <v>743</v>
      </c>
      <c r="D100" s="1022" t="s">
        <v>744</v>
      </c>
      <c r="E100" s="1339" t="s">
        <v>1265</v>
      </c>
      <c r="F100" s="1345" t="s">
        <v>669</v>
      </c>
      <c r="G100" s="530">
        <f>+H100+M100</f>
        <v>0</v>
      </c>
      <c r="H100" s="531">
        <f>+I100+J100+K100+L100</f>
        <v>0</v>
      </c>
      <c r="I100" s="1323"/>
      <c r="J100" s="1324"/>
      <c r="K100" s="1324"/>
      <c r="L100" s="1325"/>
      <c r="M100" s="531">
        <f>+N100+O100+P100</f>
        <v>0</v>
      </c>
      <c r="N100" s="1323"/>
      <c r="O100" s="1324"/>
      <c r="P100" s="1325"/>
      <c r="Q100" s="523"/>
      <c r="R100" s="523"/>
    </row>
    <row r="101" spans="1:18" s="521" customFormat="1" ht="12.75" thickBot="1">
      <c r="A101" s="586" t="s">
        <v>641</v>
      </c>
      <c r="B101" s="886"/>
      <c r="C101" s="1391" t="s">
        <v>880</v>
      </c>
      <c r="D101" s="1392"/>
      <c r="E101" s="1392"/>
      <c r="F101" s="1393"/>
      <c r="G101" s="538">
        <f>SUM(G98:G100)</f>
        <v>28850</v>
      </c>
      <c r="H101" s="422">
        <f t="shared" ref="H101:P101" si="55">SUM(H98:H100)</f>
        <v>28850</v>
      </c>
      <c r="I101" s="539">
        <f t="shared" si="55"/>
        <v>0</v>
      </c>
      <c r="J101" s="377">
        <f t="shared" si="55"/>
        <v>0</v>
      </c>
      <c r="K101" s="377">
        <f t="shared" si="55"/>
        <v>28850</v>
      </c>
      <c r="L101" s="364">
        <f t="shared" si="55"/>
        <v>0</v>
      </c>
      <c r="M101" s="422">
        <f t="shared" si="55"/>
        <v>0</v>
      </c>
      <c r="N101" s="539">
        <f t="shared" si="55"/>
        <v>0</v>
      </c>
      <c r="O101" s="377">
        <f t="shared" si="55"/>
        <v>0</v>
      </c>
      <c r="P101" s="364">
        <f t="shared" si="55"/>
        <v>0</v>
      </c>
      <c r="Q101" s="523"/>
      <c r="R101" s="523"/>
    </row>
    <row r="102" spans="1:18">
      <c r="A102" s="590">
        <f>+A100+1</f>
        <v>89</v>
      </c>
      <c r="B102" s="883">
        <v>18</v>
      </c>
      <c r="C102" s="1337" t="s">
        <v>750</v>
      </c>
      <c r="D102" s="1028" t="s">
        <v>749</v>
      </c>
      <c r="E102" s="1338" t="s">
        <v>1265</v>
      </c>
      <c r="F102" s="1351" t="s">
        <v>667</v>
      </c>
      <c r="G102" s="518">
        <f t="shared" ref="G102:G108" si="56">+H102+M102</f>
        <v>0</v>
      </c>
      <c r="H102" s="519">
        <f t="shared" ref="H102:H108" si="57">+I102+J102+K102+L102</f>
        <v>0</v>
      </c>
      <c r="I102" s="1320"/>
      <c r="J102" s="1321"/>
      <c r="K102" s="1321"/>
      <c r="L102" s="1322"/>
      <c r="M102" s="519">
        <f t="shared" ref="M102:M108" si="58">+N102+O102+P102</f>
        <v>0</v>
      </c>
      <c r="N102" s="1320"/>
      <c r="O102" s="1321"/>
      <c r="P102" s="1322"/>
      <c r="Q102" s="523"/>
      <c r="R102" s="523"/>
    </row>
    <row r="103" spans="1:18">
      <c r="A103" s="590">
        <f t="shared" ref="A103:A108" si="59">+A102+1</f>
        <v>90</v>
      </c>
      <c r="B103" s="883">
        <v>18</v>
      </c>
      <c r="C103" s="1337" t="s">
        <v>750</v>
      </c>
      <c r="D103" s="1028" t="s">
        <v>749</v>
      </c>
      <c r="E103" s="1338" t="s">
        <v>1265</v>
      </c>
      <c r="F103" s="1351" t="s">
        <v>668</v>
      </c>
      <c r="G103" s="518">
        <f t="shared" si="56"/>
        <v>0</v>
      </c>
      <c r="H103" s="519">
        <f t="shared" si="57"/>
        <v>0</v>
      </c>
      <c r="I103" s="1320"/>
      <c r="J103" s="1321"/>
      <c r="K103" s="1321"/>
      <c r="L103" s="1322"/>
      <c r="M103" s="519">
        <f t="shared" si="58"/>
        <v>0</v>
      </c>
      <c r="N103" s="1320"/>
      <c r="O103" s="1321"/>
      <c r="P103" s="1322"/>
      <c r="Q103" s="523"/>
      <c r="R103" s="523"/>
    </row>
    <row r="104" spans="1:18">
      <c r="A104" s="590">
        <f t="shared" si="59"/>
        <v>91</v>
      </c>
      <c r="B104" s="883">
        <v>18</v>
      </c>
      <c r="C104" s="1337" t="s">
        <v>750</v>
      </c>
      <c r="D104" s="1028" t="s">
        <v>749</v>
      </c>
      <c r="E104" s="1338" t="s">
        <v>1265</v>
      </c>
      <c r="F104" s="1351" t="s">
        <v>747</v>
      </c>
      <c r="G104" s="518">
        <f t="shared" si="56"/>
        <v>0</v>
      </c>
      <c r="H104" s="519">
        <f t="shared" si="57"/>
        <v>0</v>
      </c>
      <c r="I104" s="1320"/>
      <c r="J104" s="1321"/>
      <c r="K104" s="1321"/>
      <c r="L104" s="1322"/>
      <c r="M104" s="519">
        <f t="shared" si="58"/>
        <v>0</v>
      </c>
      <c r="N104" s="1320"/>
      <c r="O104" s="1321"/>
      <c r="P104" s="1322"/>
      <c r="Q104" s="523"/>
      <c r="R104" s="523"/>
    </row>
    <row r="105" spans="1:18">
      <c r="A105" s="590">
        <f t="shared" si="59"/>
        <v>92</v>
      </c>
      <c r="B105" s="883">
        <v>18</v>
      </c>
      <c r="C105" s="1337" t="s">
        <v>750</v>
      </c>
      <c r="D105" s="1028" t="s">
        <v>749</v>
      </c>
      <c r="E105" s="1338" t="s">
        <v>1265</v>
      </c>
      <c r="F105" s="1351" t="s">
        <v>748</v>
      </c>
      <c r="G105" s="518">
        <f t="shared" si="56"/>
        <v>0</v>
      </c>
      <c r="H105" s="519">
        <f t="shared" si="57"/>
        <v>0</v>
      </c>
      <c r="I105" s="1320"/>
      <c r="J105" s="1321"/>
      <c r="K105" s="1321"/>
      <c r="L105" s="1322"/>
      <c r="M105" s="519">
        <f t="shared" si="58"/>
        <v>0</v>
      </c>
      <c r="N105" s="1320"/>
      <c r="O105" s="1321"/>
      <c r="P105" s="1322"/>
      <c r="Q105" s="523"/>
      <c r="R105" s="523"/>
    </row>
    <row r="106" spans="1:18">
      <c r="A106" s="590">
        <f t="shared" si="59"/>
        <v>93</v>
      </c>
      <c r="B106" s="883">
        <v>18</v>
      </c>
      <c r="C106" s="1337" t="s">
        <v>682</v>
      </c>
      <c r="D106" s="1028" t="s">
        <v>681</v>
      </c>
      <c r="E106" s="1338" t="s">
        <v>1265</v>
      </c>
      <c r="F106" s="1351" t="s">
        <v>645</v>
      </c>
      <c r="G106" s="518">
        <f t="shared" si="56"/>
        <v>0</v>
      </c>
      <c r="H106" s="519">
        <f t="shared" si="57"/>
        <v>0</v>
      </c>
      <c r="I106" s="1320"/>
      <c r="J106" s="1321"/>
      <c r="K106" s="1321"/>
      <c r="L106" s="1322"/>
      <c r="M106" s="519">
        <f t="shared" si="58"/>
        <v>0</v>
      </c>
      <c r="N106" s="1320"/>
      <c r="O106" s="1321"/>
      <c r="P106" s="1322"/>
      <c r="Q106" s="523"/>
      <c r="R106" s="523"/>
    </row>
    <row r="107" spans="1:18">
      <c r="A107" s="590">
        <f t="shared" si="59"/>
        <v>94</v>
      </c>
      <c r="B107" s="883">
        <v>18</v>
      </c>
      <c r="C107" s="1337" t="s">
        <v>1011</v>
      </c>
      <c r="D107" s="1028" t="s">
        <v>1012</v>
      </c>
      <c r="E107" s="1338" t="s">
        <v>1265</v>
      </c>
      <c r="F107" s="1351" t="s">
        <v>1013</v>
      </c>
      <c r="G107" s="518">
        <f t="shared" si="56"/>
        <v>0</v>
      </c>
      <c r="H107" s="519">
        <f t="shared" si="57"/>
        <v>0</v>
      </c>
      <c r="I107" s="1320"/>
      <c r="J107" s="1321"/>
      <c r="K107" s="1321"/>
      <c r="L107" s="1322"/>
      <c r="M107" s="519">
        <f t="shared" si="58"/>
        <v>0</v>
      </c>
      <c r="N107" s="1320"/>
      <c r="O107" s="1321"/>
      <c r="P107" s="1322"/>
      <c r="Q107" s="523"/>
      <c r="R107" s="523"/>
    </row>
    <row r="108" spans="1:18" ht="12.75" thickBot="1">
      <c r="A108" s="590">
        <f t="shared" si="59"/>
        <v>95</v>
      </c>
      <c r="B108" s="883">
        <v>18</v>
      </c>
      <c r="C108" s="1337" t="s">
        <v>1021</v>
      </c>
      <c r="D108" s="1028" t="s">
        <v>1020</v>
      </c>
      <c r="E108" s="1338" t="s">
        <v>1265</v>
      </c>
      <c r="F108" s="1351" t="s">
        <v>1013</v>
      </c>
      <c r="G108" s="518">
        <f t="shared" si="56"/>
        <v>0</v>
      </c>
      <c r="H108" s="519">
        <f t="shared" si="57"/>
        <v>0</v>
      </c>
      <c r="I108" s="1320"/>
      <c r="J108" s="1321"/>
      <c r="K108" s="1321"/>
      <c r="L108" s="1322"/>
      <c r="M108" s="519">
        <f t="shared" si="58"/>
        <v>0</v>
      </c>
      <c r="N108" s="1320"/>
      <c r="O108" s="1321"/>
      <c r="P108" s="1322"/>
      <c r="Q108" s="523"/>
      <c r="R108" s="523"/>
    </row>
    <row r="109" spans="1:18" s="521" customFormat="1" ht="12.75" thickBot="1">
      <c r="A109" s="586" t="s">
        <v>755</v>
      </c>
      <c r="B109" s="886"/>
      <c r="C109" s="1391" t="s">
        <v>881</v>
      </c>
      <c r="D109" s="1392"/>
      <c r="E109" s="1392"/>
      <c r="F109" s="1393"/>
      <c r="G109" s="538">
        <f>SUM(G102:G108)</f>
        <v>0</v>
      </c>
      <c r="H109" s="422">
        <f t="shared" ref="H109:P109" si="60">SUM(H102:H108)</f>
        <v>0</v>
      </c>
      <c r="I109" s="539">
        <f t="shared" si="60"/>
        <v>0</v>
      </c>
      <c r="J109" s="377">
        <f t="shared" si="60"/>
        <v>0</v>
      </c>
      <c r="K109" s="377">
        <f t="shared" si="60"/>
        <v>0</v>
      </c>
      <c r="L109" s="364">
        <f t="shared" si="60"/>
        <v>0</v>
      </c>
      <c r="M109" s="422">
        <f t="shared" si="60"/>
        <v>0</v>
      </c>
      <c r="N109" s="539">
        <f t="shared" si="60"/>
        <v>0</v>
      </c>
      <c r="O109" s="377">
        <f t="shared" si="60"/>
        <v>0</v>
      </c>
      <c r="P109" s="364">
        <f t="shared" si="60"/>
        <v>0</v>
      </c>
      <c r="Q109" s="523"/>
      <c r="R109" s="523"/>
    </row>
    <row r="110" spans="1:18" s="521" customFormat="1" ht="12.75" thickBot="1">
      <c r="A110" s="587" t="s">
        <v>22</v>
      </c>
      <c r="B110" s="887"/>
      <c r="C110" s="1394" t="s">
        <v>882</v>
      </c>
      <c r="D110" s="1395"/>
      <c r="E110" s="1395"/>
      <c r="F110" s="1396"/>
      <c r="G110" s="541">
        <f t="shared" ref="G110:P110" si="61">+G97+G101+G109</f>
        <v>38524</v>
      </c>
      <c r="H110" s="551">
        <f t="shared" si="61"/>
        <v>38524</v>
      </c>
      <c r="I110" s="542">
        <f t="shared" si="61"/>
        <v>0</v>
      </c>
      <c r="J110" s="543">
        <f t="shared" si="61"/>
        <v>0</v>
      </c>
      <c r="K110" s="543">
        <f t="shared" si="61"/>
        <v>38524</v>
      </c>
      <c r="L110" s="544">
        <f t="shared" si="61"/>
        <v>0</v>
      </c>
      <c r="M110" s="551">
        <f t="shared" si="61"/>
        <v>0</v>
      </c>
      <c r="N110" s="542">
        <f t="shared" si="61"/>
        <v>0</v>
      </c>
      <c r="O110" s="543">
        <f t="shared" si="61"/>
        <v>0</v>
      </c>
      <c r="P110" s="544">
        <f t="shared" si="61"/>
        <v>0</v>
      </c>
      <c r="Q110" s="523"/>
      <c r="R110" s="523"/>
    </row>
    <row r="111" spans="1:18" s="521" customFormat="1" ht="12.75" thickBot="1">
      <c r="A111" s="586"/>
      <c r="B111" s="890"/>
      <c r="C111" s="988"/>
      <c r="D111" s="585"/>
      <c r="E111" s="983"/>
      <c r="F111" s="537"/>
      <c r="G111" s="538"/>
      <c r="H111" s="422"/>
      <c r="I111" s="539"/>
      <c r="J111" s="377"/>
      <c r="K111" s="377"/>
      <c r="L111" s="364"/>
      <c r="M111" s="422"/>
      <c r="N111" s="539"/>
      <c r="O111" s="377"/>
      <c r="P111" s="364"/>
      <c r="Q111" s="523"/>
      <c r="R111" s="523"/>
    </row>
    <row r="112" spans="1:18">
      <c r="A112" s="590">
        <f>+A108+1</f>
        <v>96</v>
      </c>
      <c r="B112" s="883">
        <v>19</v>
      </c>
      <c r="C112" s="1337" t="s">
        <v>1093</v>
      </c>
      <c r="D112" s="1028" t="s">
        <v>1094</v>
      </c>
      <c r="E112" s="1338" t="s">
        <v>1265</v>
      </c>
      <c r="F112" s="1351" t="s">
        <v>1095</v>
      </c>
      <c r="G112" s="518">
        <f t="shared" ref="G112:G117" si="62">+H112+M112</f>
        <v>0</v>
      </c>
      <c r="H112" s="519">
        <f t="shared" ref="H112:H117" si="63">+I112+J112+K112+L112</f>
        <v>0</v>
      </c>
      <c r="I112" s="1320"/>
      <c r="J112" s="1321"/>
      <c r="K112" s="1321"/>
      <c r="L112" s="1322"/>
      <c r="M112" s="519">
        <f t="shared" ref="M112:M117" si="64">+N112+O112+P112</f>
        <v>0</v>
      </c>
      <c r="N112" s="1320"/>
      <c r="O112" s="1321"/>
      <c r="P112" s="1322"/>
      <c r="Q112" s="523"/>
      <c r="R112" s="523"/>
    </row>
    <row r="113" spans="1:18">
      <c r="A113" s="590">
        <f>+A112+1</f>
        <v>97</v>
      </c>
      <c r="B113" s="883">
        <v>20</v>
      </c>
      <c r="C113" s="1337" t="s">
        <v>1096</v>
      </c>
      <c r="D113" s="1028" t="s">
        <v>1097</v>
      </c>
      <c r="E113" s="1338" t="s">
        <v>1279</v>
      </c>
      <c r="F113" s="1351" t="s">
        <v>1102</v>
      </c>
      <c r="G113" s="518">
        <f t="shared" si="62"/>
        <v>9862</v>
      </c>
      <c r="H113" s="519">
        <f t="shared" si="63"/>
        <v>9862</v>
      </c>
      <c r="I113" s="1320"/>
      <c r="J113" s="1321"/>
      <c r="K113" s="1321">
        <v>9862</v>
      </c>
      <c r="L113" s="1322"/>
      <c r="M113" s="519">
        <f t="shared" si="64"/>
        <v>0</v>
      </c>
      <c r="N113" s="1320"/>
      <c r="O113" s="1321"/>
      <c r="P113" s="1322"/>
      <c r="Q113" s="523"/>
      <c r="R113" s="523"/>
    </row>
    <row r="114" spans="1:18">
      <c r="A114" s="590">
        <f>+A113+1</f>
        <v>98</v>
      </c>
      <c r="B114" s="883">
        <v>20</v>
      </c>
      <c r="C114" s="1337" t="s">
        <v>1096</v>
      </c>
      <c r="D114" s="1028" t="s">
        <v>1097</v>
      </c>
      <c r="E114" s="1338" t="s">
        <v>1280</v>
      </c>
      <c r="F114" s="1351" t="s">
        <v>1103</v>
      </c>
      <c r="G114" s="518">
        <f t="shared" si="62"/>
        <v>9696</v>
      </c>
      <c r="H114" s="519">
        <f t="shared" si="63"/>
        <v>9696</v>
      </c>
      <c r="I114" s="1320"/>
      <c r="J114" s="1321"/>
      <c r="K114" s="1321">
        <v>9696</v>
      </c>
      <c r="L114" s="1322"/>
      <c r="M114" s="519">
        <f t="shared" si="64"/>
        <v>0</v>
      </c>
      <c r="N114" s="1320"/>
      <c r="O114" s="1321"/>
      <c r="P114" s="1322"/>
      <c r="Q114" s="523"/>
      <c r="R114" s="523"/>
    </row>
    <row r="115" spans="1:18">
      <c r="A115" s="590">
        <f t="shared" ref="A115:A117" si="65">+A114+1</f>
        <v>99</v>
      </c>
      <c r="B115" s="883">
        <v>21</v>
      </c>
      <c r="C115" s="1337" t="s">
        <v>1098</v>
      </c>
      <c r="D115" s="1028" t="s">
        <v>1197</v>
      </c>
      <c r="E115" s="1338" t="s">
        <v>1281</v>
      </c>
      <c r="F115" s="1351" t="s">
        <v>581</v>
      </c>
      <c r="G115" s="518">
        <f t="shared" si="62"/>
        <v>0</v>
      </c>
      <c r="H115" s="519">
        <f t="shared" si="63"/>
        <v>0</v>
      </c>
      <c r="I115" s="1320"/>
      <c r="J115" s="1321"/>
      <c r="K115" s="1321"/>
      <c r="L115" s="1322"/>
      <c r="M115" s="519">
        <f t="shared" si="64"/>
        <v>0</v>
      </c>
      <c r="N115" s="1320"/>
      <c r="O115" s="1321"/>
      <c r="P115" s="1322"/>
      <c r="Q115" s="523"/>
      <c r="R115" s="523"/>
    </row>
    <row r="116" spans="1:18">
      <c r="A116" s="590">
        <f t="shared" si="65"/>
        <v>100</v>
      </c>
      <c r="B116" s="883">
        <v>20</v>
      </c>
      <c r="C116" s="1337" t="s">
        <v>1099</v>
      </c>
      <c r="D116" s="1028" t="s">
        <v>1100</v>
      </c>
      <c r="E116" s="1338" t="s">
        <v>1282</v>
      </c>
      <c r="F116" s="1351" t="s">
        <v>1101</v>
      </c>
      <c r="G116" s="518">
        <f t="shared" si="62"/>
        <v>314</v>
      </c>
      <c r="H116" s="519">
        <f t="shared" si="63"/>
        <v>314</v>
      </c>
      <c r="I116" s="1320"/>
      <c r="J116" s="1321"/>
      <c r="K116" s="1321">
        <v>314</v>
      </c>
      <c r="L116" s="1322"/>
      <c r="M116" s="519">
        <f t="shared" si="64"/>
        <v>0</v>
      </c>
      <c r="N116" s="1320"/>
      <c r="O116" s="1321"/>
      <c r="P116" s="1322"/>
      <c r="Q116" s="523"/>
      <c r="R116" s="523"/>
    </row>
    <row r="117" spans="1:18" ht="12.75" thickBot="1">
      <c r="A117" s="590">
        <f t="shared" si="65"/>
        <v>101</v>
      </c>
      <c r="B117" s="883">
        <v>19</v>
      </c>
      <c r="C117" s="1337" t="s">
        <v>1017</v>
      </c>
      <c r="D117" s="1028" t="s">
        <v>1018</v>
      </c>
      <c r="E117" s="1338" t="s">
        <v>1265</v>
      </c>
      <c r="F117" s="1351" t="s">
        <v>1095</v>
      </c>
      <c r="G117" s="518">
        <f t="shared" si="62"/>
        <v>0</v>
      </c>
      <c r="H117" s="519">
        <f t="shared" si="63"/>
        <v>0</v>
      </c>
      <c r="I117" s="1320"/>
      <c r="J117" s="1321"/>
      <c r="K117" s="1321"/>
      <c r="L117" s="1322"/>
      <c r="M117" s="519">
        <f t="shared" si="64"/>
        <v>0</v>
      </c>
      <c r="N117" s="1320"/>
      <c r="O117" s="1321"/>
      <c r="P117" s="1322"/>
      <c r="Q117" s="523"/>
      <c r="R117" s="523"/>
    </row>
    <row r="118" spans="1:18" s="521" customFormat="1" ht="12.75" thickBot="1">
      <c r="A118" s="586" t="s">
        <v>756</v>
      </c>
      <c r="B118" s="886"/>
      <c r="C118" s="1385" t="s">
        <v>418</v>
      </c>
      <c r="D118" s="1386"/>
      <c r="E118" s="1386"/>
      <c r="F118" s="1387"/>
      <c r="G118" s="538">
        <f>SUM(G112:G117)</f>
        <v>19872</v>
      </c>
      <c r="H118" s="422">
        <f t="shared" ref="H118:P118" si="66">SUM(H112:H117)</f>
        <v>19872</v>
      </c>
      <c r="I118" s="539">
        <f t="shared" si="66"/>
        <v>0</v>
      </c>
      <c r="J118" s="377">
        <f t="shared" si="66"/>
        <v>0</v>
      </c>
      <c r="K118" s="377">
        <f t="shared" si="66"/>
        <v>19872</v>
      </c>
      <c r="L118" s="364">
        <f t="shared" si="66"/>
        <v>0</v>
      </c>
      <c r="M118" s="538">
        <f t="shared" si="66"/>
        <v>0</v>
      </c>
      <c r="N118" s="539">
        <f t="shared" si="66"/>
        <v>0</v>
      </c>
      <c r="O118" s="377">
        <f t="shared" si="66"/>
        <v>0</v>
      </c>
      <c r="P118" s="364">
        <f t="shared" si="66"/>
        <v>0</v>
      </c>
      <c r="Q118" s="523"/>
      <c r="R118" s="523"/>
    </row>
    <row r="119" spans="1:18" s="525" customFormat="1" ht="12.75" customHeight="1" thickBot="1">
      <c r="A119" s="592">
        <f>+A117+1</f>
        <v>102</v>
      </c>
      <c r="B119" s="891">
        <v>22</v>
      </c>
      <c r="C119" s="989" t="s">
        <v>19</v>
      </c>
      <c r="D119" s="1352" t="s">
        <v>19</v>
      </c>
      <c r="E119" s="984" t="s">
        <v>19</v>
      </c>
      <c r="F119" s="1352" t="s">
        <v>19</v>
      </c>
      <c r="G119" s="562">
        <f>+H119+M119</f>
        <v>0</v>
      </c>
      <c r="H119" s="430">
        <f>+I119+J119+K119+L119</f>
        <v>0</v>
      </c>
      <c r="I119" s="533"/>
      <c r="J119" s="532"/>
      <c r="K119" s="532"/>
      <c r="L119" s="453"/>
      <c r="M119" s="430">
        <f>+N119+O119+P119</f>
        <v>0</v>
      </c>
      <c r="N119" s="533"/>
      <c r="O119" s="532"/>
      <c r="P119" s="453"/>
      <c r="Q119" s="523"/>
      <c r="R119" s="523"/>
    </row>
    <row r="120" spans="1:18" s="521" customFormat="1" ht="12.75" thickBot="1">
      <c r="A120" s="917" t="s">
        <v>757</v>
      </c>
      <c r="B120" s="886"/>
      <c r="C120" s="1385" t="s">
        <v>419</v>
      </c>
      <c r="D120" s="1386"/>
      <c r="E120" s="1386"/>
      <c r="F120" s="1387"/>
      <c r="G120" s="538">
        <f>SUM(G119)</f>
        <v>0</v>
      </c>
      <c r="H120" s="538">
        <f t="shared" ref="H120:P120" si="67">SUM(H119)</f>
        <v>0</v>
      </c>
      <c r="I120" s="539">
        <f t="shared" si="67"/>
        <v>0</v>
      </c>
      <c r="J120" s="377">
        <f t="shared" si="67"/>
        <v>0</v>
      </c>
      <c r="K120" s="377">
        <f t="shared" si="67"/>
        <v>0</v>
      </c>
      <c r="L120" s="364">
        <f t="shared" si="67"/>
        <v>0</v>
      </c>
      <c r="M120" s="538">
        <f t="shared" si="67"/>
        <v>0</v>
      </c>
      <c r="N120" s="539">
        <f t="shared" si="67"/>
        <v>0</v>
      </c>
      <c r="O120" s="377">
        <f t="shared" si="67"/>
        <v>0</v>
      </c>
      <c r="P120" s="364">
        <f t="shared" si="67"/>
        <v>0</v>
      </c>
      <c r="Q120" s="523"/>
      <c r="R120" s="523"/>
    </row>
    <row r="121" spans="1:18" s="525" customFormat="1" ht="12.75" customHeight="1" thickBot="1">
      <c r="A121" s="592">
        <f>+A119+1</f>
        <v>103</v>
      </c>
      <c r="B121" s="891">
        <v>23</v>
      </c>
      <c r="C121" s="989" t="s">
        <v>19</v>
      </c>
      <c r="D121" s="1352" t="s">
        <v>19</v>
      </c>
      <c r="E121" s="984" t="s">
        <v>19</v>
      </c>
      <c r="F121" s="1352" t="s">
        <v>19</v>
      </c>
      <c r="G121" s="562">
        <f>+H121+M121</f>
        <v>0</v>
      </c>
      <c r="H121" s="430">
        <f>+I121+J121+K121+L121</f>
        <v>0</v>
      </c>
      <c r="I121" s="533"/>
      <c r="J121" s="532"/>
      <c r="K121" s="532"/>
      <c r="L121" s="453"/>
      <c r="M121" s="430">
        <f>+N121+O121+P121</f>
        <v>0</v>
      </c>
      <c r="N121" s="533"/>
      <c r="O121" s="532"/>
      <c r="P121" s="453"/>
      <c r="Q121" s="523"/>
      <c r="R121" s="523"/>
    </row>
    <row r="122" spans="1:18" s="521" customFormat="1" ht="12.75" thickBot="1">
      <c r="A122" s="586" t="s">
        <v>758</v>
      </c>
      <c r="B122" s="886"/>
      <c r="C122" s="1385" t="s">
        <v>775</v>
      </c>
      <c r="D122" s="1386"/>
      <c r="E122" s="1386"/>
      <c r="F122" s="1387"/>
      <c r="G122" s="538">
        <f>SUM(G121)</f>
        <v>0</v>
      </c>
      <c r="H122" s="422">
        <f t="shared" ref="H122:P122" si="68">SUM(H121)</f>
        <v>0</v>
      </c>
      <c r="I122" s="539">
        <f t="shared" si="68"/>
        <v>0</v>
      </c>
      <c r="J122" s="377">
        <f t="shared" si="68"/>
        <v>0</v>
      </c>
      <c r="K122" s="377">
        <f t="shared" si="68"/>
        <v>0</v>
      </c>
      <c r="L122" s="364">
        <f t="shared" si="68"/>
        <v>0</v>
      </c>
      <c r="M122" s="422">
        <f t="shared" si="68"/>
        <v>0</v>
      </c>
      <c r="N122" s="539">
        <f t="shared" si="68"/>
        <v>0</v>
      </c>
      <c r="O122" s="377">
        <f t="shared" si="68"/>
        <v>0</v>
      </c>
      <c r="P122" s="364">
        <f t="shared" si="68"/>
        <v>0</v>
      </c>
      <c r="Q122" s="523"/>
      <c r="R122" s="523"/>
    </row>
    <row r="123" spans="1:18" s="521" customFormat="1" ht="12.75" thickBot="1">
      <c r="A123" s="587" t="s">
        <v>21</v>
      </c>
      <c r="B123" s="887"/>
      <c r="C123" s="1379" t="s">
        <v>420</v>
      </c>
      <c r="D123" s="1380"/>
      <c r="E123" s="1380"/>
      <c r="F123" s="1381"/>
      <c r="G123" s="541">
        <f>+G118+G120+G122</f>
        <v>19872</v>
      </c>
      <c r="H123" s="544">
        <f t="shared" ref="H123:P123" si="69">+H118+H120+H122</f>
        <v>19872</v>
      </c>
      <c r="I123" s="558">
        <f t="shared" si="69"/>
        <v>0</v>
      </c>
      <c r="J123" s="559">
        <f t="shared" si="69"/>
        <v>0</v>
      </c>
      <c r="K123" s="559">
        <f t="shared" si="69"/>
        <v>19872</v>
      </c>
      <c r="L123" s="560">
        <f t="shared" si="69"/>
        <v>0</v>
      </c>
      <c r="M123" s="544">
        <f t="shared" si="69"/>
        <v>0</v>
      </c>
      <c r="N123" s="558">
        <f t="shared" si="69"/>
        <v>0</v>
      </c>
      <c r="O123" s="559">
        <f t="shared" si="69"/>
        <v>0</v>
      </c>
      <c r="P123" s="560">
        <f t="shared" si="69"/>
        <v>0</v>
      </c>
      <c r="Q123" s="523"/>
      <c r="R123" s="523"/>
    </row>
    <row r="124" spans="1:18" s="521" customFormat="1" ht="12.75" thickBot="1">
      <c r="A124" s="586"/>
      <c r="B124" s="890"/>
      <c r="C124" s="988"/>
      <c r="D124" s="585"/>
      <c r="E124" s="983"/>
      <c r="F124" s="537"/>
      <c r="G124" s="538"/>
      <c r="H124" s="422"/>
      <c r="I124" s="539"/>
      <c r="J124" s="377"/>
      <c r="K124" s="377"/>
      <c r="L124" s="364"/>
      <c r="M124" s="422"/>
      <c r="N124" s="539"/>
      <c r="O124" s="377"/>
      <c r="P124" s="364"/>
      <c r="Q124" s="523"/>
      <c r="R124" s="523"/>
    </row>
    <row r="125" spans="1:18">
      <c r="A125" s="590">
        <f>+A121+1</f>
        <v>104</v>
      </c>
      <c r="B125" s="883">
        <v>24</v>
      </c>
      <c r="C125" s="1337" t="s">
        <v>1104</v>
      </c>
      <c r="D125" s="1028" t="s">
        <v>1105</v>
      </c>
      <c r="E125" s="1338" t="s">
        <v>1265</v>
      </c>
      <c r="F125" s="1351" t="s">
        <v>1105</v>
      </c>
      <c r="G125" s="518">
        <f>+H125+M125</f>
        <v>0</v>
      </c>
      <c r="H125" s="519">
        <f>+I125+J125+K125+L125</f>
        <v>0</v>
      </c>
      <c r="I125" s="1320"/>
      <c r="J125" s="1321"/>
      <c r="K125" s="1321"/>
      <c r="L125" s="1322"/>
      <c r="M125" s="519">
        <f>+N125+O125+P125</f>
        <v>0</v>
      </c>
      <c r="N125" s="1320"/>
      <c r="O125" s="1321"/>
      <c r="P125" s="1322"/>
      <c r="Q125" s="523"/>
      <c r="R125" s="523"/>
    </row>
    <row r="126" spans="1:18">
      <c r="A126" s="590">
        <f>+A125+1</f>
        <v>105</v>
      </c>
      <c r="B126" s="883">
        <v>25</v>
      </c>
      <c r="C126" s="1337" t="s">
        <v>1107</v>
      </c>
      <c r="D126" s="1028" t="s">
        <v>1106</v>
      </c>
      <c r="E126" s="1338" t="s">
        <v>1265</v>
      </c>
      <c r="F126" s="1351" t="s">
        <v>1106</v>
      </c>
      <c r="G126" s="518">
        <f>+H126+M126</f>
        <v>400</v>
      </c>
      <c r="H126" s="519">
        <f>+I126+J126+K126+L126</f>
        <v>400</v>
      </c>
      <c r="I126" s="1320"/>
      <c r="J126" s="1321"/>
      <c r="K126" s="1321">
        <v>400</v>
      </c>
      <c r="L126" s="1322"/>
      <c r="M126" s="519">
        <f>+N126+O126+P126</f>
        <v>0</v>
      </c>
      <c r="N126" s="1320"/>
      <c r="O126" s="1321"/>
      <c r="P126" s="1322"/>
      <c r="Q126" s="523"/>
      <c r="R126" s="523"/>
    </row>
    <row r="127" spans="1:18">
      <c r="A127" s="590">
        <f t="shared" ref="A127:A129" si="70">+A126+1</f>
        <v>106</v>
      </c>
      <c r="B127" s="883">
        <v>26</v>
      </c>
      <c r="C127" s="1337" t="s">
        <v>1109</v>
      </c>
      <c r="D127" s="1028" t="s">
        <v>1108</v>
      </c>
      <c r="E127" s="1338" t="s">
        <v>1283</v>
      </c>
      <c r="F127" s="1351" t="s">
        <v>1112</v>
      </c>
      <c r="G127" s="518">
        <f>+H127+M127</f>
        <v>100</v>
      </c>
      <c r="H127" s="519">
        <f>+I127+J127+K127+L127</f>
        <v>100</v>
      </c>
      <c r="I127" s="1320"/>
      <c r="J127" s="1321"/>
      <c r="K127" s="1321">
        <v>100</v>
      </c>
      <c r="L127" s="1322"/>
      <c r="M127" s="519">
        <f>+N127+O127+P127</f>
        <v>0</v>
      </c>
      <c r="N127" s="1320"/>
      <c r="O127" s="1321"/>
      <c r="P127" s="1322"/>
      <c r="Q127" s="523"/>
      <c r="R127" s="523"/>
    </row>
    <row r="128" spans="1:18">
      <c r="A128" s="590">
        <f t="shared" si="70"/>
        <v>107</v>
      </c>
      <c r="B128" s="883">
        <v>25</v>
      </c>
      <c r="C128" s="1337" t="s">
        <v>1110</v>
      </c>
      <c r="D128" s="1028" t="s">
        <v>1111</v>
      </c>
      <c r="E128" s="1338" t="s">
        <v>1284</v>
      </c>
      <c r="F128" s="1351" t="s">
        <v>1113</v>
      </c>
      <c r="G128" s="518">
        <f>+H128+M128</f>
        <v>0</v>
      </c>
      <c r="H128" s="519">
        <f>+I128+J128+K128+L128</f>
        <v>0</v>
      </c>
      <c r="I128" s="1320"/>
      <c r="J128" s="1321"/>
      <c r="K128" s="1321"/>
      <c r="L128" s="1322"/>
      <c r="M128" s="519">
        <f>+N128+O128+P128</f>
        <v>0</v>
      </c>
      <c r="N128" s="1320"/>
      <c r="O128" s="1321"/>
      <c r="P128" s="1322"/>
      <c r="Q128" s="523"/>
      <c r="R128" s="523"/>
    </row>
    <row r="129" spans="1:18" ht="12.75" thickBot="1">
      <c r="A129" s="590">
        <f t="shared" si="70"/>
        <v>108</v>
      </c>
      <c r="B129" s="883">
        <v>25</v>
      </c>
      <c r="C129" s="1337" t="s">
        <v>1017</v>
      </c>
      <c r="D129" s="1028" t="s">
        <v>1018</v>
      </c>
      <c r="E129" s="1338" t="s">
        <v>1265</v>
      </c>
      <c r="F129" s="1351" t="s">
        <v>1106</v>
      </c>
      <c r="G129" s="518">
        <f>+H129+M129</f>
        <v>0</v>
      </c>
      <c r="H129" s="519">
        <f>+I129+J129+K129+L129</f>
        <v>0</v>
      </c>
      <c r="I129" s="1320"/>
      <c r="J129" s="1321"/>
      <c r="K129" s="1321"/>
      <c r="L129" s="1322"/>
      <c r="M129" s="519">
        <f>+N129+O129+P129</f>
        <v>0</v>
      </c>
      <c r="N129" s="1320"/>
      <c r="O129" s="1321"/>
      <c r="P129" s="1322"/>
      <c r="Q129" s="523"/>
      <c r="R129" s="523"/>
    </row>
    <row r="130" spans="1:18" s="521" customFormat="1" ht="12.75" thickBot="1">
      <c r="A130" s="586" t="s">
        <v>759</v>
      </c>
      <c r="B130" s="886"/>
      <c r="C130" s="1385" t="s">
        <v>421</v>
      </c>
      <c r="D130" s="1386"/>
      <c r="E130" s="1386"/>
      <c r="F130" s="1387"/>
      <c r="G130" s="538">
        <f>SUM(G125:G129)</f>
        <v>500</v>
      </c>
      <c r="H130" s="422">
        <f t="shared" ref="H130:P130" si="71">SUM(H125:H129)</f>
        <v>500</v>
      </c>
      <c r="I130" s="539">
        <f t="shared" si="71"/>
        <v>0</v>
      </c>
      <c r="J130" s="377">
        <f t="shared" si="71"/>
        <v>0</v>
      </c>
      <c r="K130" s="377">
        <f t="shared" si="71"/>
        <v>500</v>
      </c>
      <c r="L130" s="364">
        <f t="shared" si="71"/>
        <v>0</v>
      </c>
      <c r="M130" s="538">
        <f t="shared" si="71"/>
        <v>0</v>
      </c>
      <c r="N130" s="539">
        <f t="shared" si="71"/>
        <v>0</v>
      </c>
      <c r="O130" s="377">
        <f t="shared" si="71"/>
        <v>0</v>
      </c>
      <c r="P130" s="364">
        <f t="shared" si="71"/>
        <v>0</v>
      </c>
      <c r="Q130" s="523"/>
      <c r="R130" s="523"/>
    </row>
    <row r="131" spans="1:18" s="525" customFormat="1" ht="12.75" customHeight="1" thickBot="1">
      <c r="A131" s="592">
        <f>A129+1</f>
        <v>109</v>
      </c>
      <c r="B131" s="891">
        <v>27</v>
      </c>
      <c r="C131" s="989" t="s">
        <v>19</v>
      </c>
      <c r="D131" s="583" t="s">
        <v>19</v>
      </c>
      <c r="E131" s="984" t="s">
        <v>19</v>
      </c>
      <c r="F131" s="1353" t="s">
        <v>19</v>
      </c>
      <c r="G131" s="562">
        <f>+H131+M131</f>
        <v>0</v>
      </c>
      <c r="H131" s="430">
        <f>+I131+J131+K131+L131</f>
        <v>0</v>
      </c>
      <c r="I131" s="533"/>
      <c r="J131" s="532"/>
      <c r="K131" s="532"/>
      <c r="L131" s="453"/>
      <c r="M131" s="430">
        <f>+N131+O131+P131</f>
        <v>0</v>
      </c>
      <c r="N131" s="533"/>
      <c r="O131" s="532"/>
      <c r="P131" s="453"/>
      <c r="Q131" s="523"/>
      <c r="R131" s="523"/>
    </row>
    <row r="132" spans="1:18" s="521" customFormat="1" ht="12.75" thickBot="1">
      <c r="A132" s="586" t="s">
        <v>642</v>
      </c>
      <c r="B132" s="886"/>
      <c r="C132" s="1385" t="s">
        <v>761</v>
      </c>
      <c r="D132" s="1386"/>
      <c r="E132" s="1386"/>
      <c r="F132" s="1387"/>
      <c r="G132" s="538">
        <f>SUM(G131)</f>
        <v>0</v>
      </c>
      <c r="H132" s="422">
        <f t="shared" ref="H132:P134" si="72">SUM(H131)</f>
        <v>0</v>
      </c>
      <c r="I132" s="539">
        <f t="shared" si="72"/>
        <v>0</v>
      </c>
      <c r="J132" s="377">
        <f t="shared" si="72"/>
        <v>0</v>
      </c>
      <c r="K132" s="377">
        <f t="shared" si="72"/>
        <v>0</v>
      </c>
      <c r="L132" s="364">
        <f t="shared" si="72"/>
        <v>0</v>
      </c>
      <c r="M132" s="538">
        <f t="shared" si="72"/>
        <v>0</v>
      </c>
      <c r="N132" s="539">
        <f t="shared" si="72"/>
        <v>0</v>
      </c>
      <c r="O132" s="377">
        <f t="shared" si="72"/>
        <v>0</v>
      </c>
      <c r="P132" s="364">
        <f t="shared" si="72"/>
        <v>0</v>
      </c>
      <c r="Q132" s="523"/>
      <c r="R132" s="523"/>
    </row>
    <row r="133" spans="1:18" s="525" customFormat="1" ht="12.75" customHeight="1" thickBot="1">
      <c r="A133" s="592">
        <f>+A131+1</f>
        <v>110</v>
      </c>
      <c r="B133" s="891">
        <v>28</v>
      </c>
      <c r="C133" s="989" t="s">
        <v>19</v>
      </c>
      <c r="D133" s="583" t="s">
        <v>19</v>
      </c>
      <c r="E133" s="984" t="s">
        <v>19</v>
      </c>
      <c r="F133" s="1353" t="s">
        <v>19</v>
      </c>
      <c r="G133" s="562">
        <f>+H133+M133</f>
        <v>0</v>
      </c>
      <c r="H133" s="430">
        <f>+I133+J133+K133+L133</f>
        <v>0</v>
      </c>
      <c r="I133" s="533"/>
      <c r="J133" s="532"/>
      <c r="K133" s="532"/>
      <c r="L133" s="453"/>
      <c r="M133" s="430">
        <f>+N133+O133+P133</f>
        <v>0</v>
      </c>
      <c r="N133" s="533"/>
      <c r="O133" s="532"/>
      <c r="P133" s="453"/>
      <c r="Q133" s="523"/>
      <c r="R133" s="523"/>
    </row>
    <row r="134" spans="1:18" s="521" customFormat="1" ht="12.75" thickBot="1">
      <c r="A134" s="586" t="s">
        <v>760</v>
      </c>
      <c r="B134" s="886"/>
      <c r="C134" s="1385" t="s">
        <v>776</v>
      </c>
      <c r="D134" s="1386"/>
      <c r="E134" s="1386"/>
      <c r="F134" s="1387"/>
      <c r="G134" s="538">
        <f>SUM(G133)</f>
        <v>0</v>
      </c>
      <c r="H134" s="422">
        <f t="shared" si="72"/>
        <v>0</v>
      </c>
      <c r="I134" s="539">
        <f t="shared" si="72"/>
        <v>0</v>
      </c>
      <c r="J134" s="377">
        <f t="shared" si="72"/>
        <v>0</v>
      </c>
      <c r="K134" s="377">
        <f t="shared" si="72"/>
        <v>0</v>
      </c>
      <c r="L134" s="364">
        <f t="shared" si="72"/>
        <v>0</v>
      </c>
      <c r="M134" s="538">
        <f t="shared" si="72"/>
        <v>0</v>
      </c>
      <c r="N134" s="539">
        <f t="shared" si="72"/>
        <v>0</v>
      </c>
      <c r="O134" s="377">
        <f t="shared" si="72"/>
        <v>0</v>
      </c>
      <c r="P134" s="364">
        <f t="shared" si="72"/>
        <v>0</v>
      </c>
      <c r="Q134" s="523"/>
      <c r="R134" s="523"/>
    </row>
    <row r="135" spans="1:18" s="521" customFormat="1" ht="12.75" thickBot="1">
      <c r="A135" s="587" t="s">
        <v>20</v>
      </c>
      <c r="B135" s="887"/>
      <c r="C135" s="1379" t="s">
        <v>423</v>
      </c>
      <c r="D135" s="1380"/>
      <c r="E135" s="1380"/>
      <c r="F135" s="1381"/>
      <c r="G135" s="541">
        <f>+G130+G132+G134</f>
        <v>500</v>
      </c>
      <c r="H135" s="544">
        <f t="shared" ref="H135:P135" si="73">+H130+H132+H134</f>
        <v>500</v>
      </c>
      <c r="I135" s="558">
        <f t="shared" si="73"/>
        <v>0</v>
      </c>
      <c r="J135" s="559">
        <f t="shared" si="73"/>
        <v>0</v>
      </c>
      <c r="K135" s="559">
        <f t="shared" si="73"/>
        <v>500</v>
      </c>
      <c r="L135" s="560">
        <f t="shared" si="73"/>
        <v>0</v>
      </c>
      <c r="M135" s="544">
        <f t="shared" si="73"/>
        <v>0</v>
      </c>
      <c r="N135" s="558">
        <f t="shared" si="73"/>
        <v>0</v>
      </c>
      <c r="O135" s="559">
        <f t="shared" si="73"/>
        <v>0</v>
      </c>
      <c r="P135" s="560">
        <f t="shared" si="73"/>
        <v>0</v>
      </c>
      <c r="Q135" s="523"/>
      <c r="R135" s="523"/>
    </row>
    <row r="136" spans="1:18" s="521" customFormat="1" ht="12.75" thickBot="1">
      <c r="A136" s="586"/>
      <c r="B136" s="890"/>
      <c r="C136" s="988"/>
      <c r="D136" s="585"/>
      <c r="E136" s="983"/>
      <c r="F136" s="537"/>
      <c r="G136" s="538"/>
      <c r="H136" s="422"/>
      <c r="I136" s="539"/>
      <c r="J136" s="377"/>
      <c r="K136" s="377"/>
      <c r="L136" s="364"/>
      <c r="M136" s="422"/>
      <c r="N136" s="539"/>
      <c r="O136" s="377"/>
      <c r="P136" s="364"/>
      <c r="Q136" s="523"/>
      <c r="R136" s="523"/>
    </row>
    <row r="137" spans="1:18" s="525" customFormat="1" ht="12.75" customHeight="1" thickBot="1">
      <c r="A137" s="590">
        <f>A133+1</f>
        <v>111</v>
      </c>
      <c r="B137" s="884">
        <v>29</v>
      </c>
      <c r="C137" s="1337" t="s">
        <v>19</v>
      </c>
      <c r="D137" s="1028" t="s">
        <v>19</v>
      </c>
      <c r="E137" s="1338" t="s">
        <v>19</v>
      </c>
      <c r="F137" s="1351" t="s">
        <v>19</v>
      </c>
      <c r="G137" s="518">
        <f>+H137+M137</f>
        <v>0</v>
      </c>
      <c r="H137" s="519">
        <f>+I137+J137+K137+L137</f>
        <v>0</v>
      </c>
      <c r="I137" s="1320"/>
      <c r="J137" s="1324"/>
      <c r="K137" s="1324"/>
      <c r="L137" s="1325"/>
      <c r="M137" s="519">
        <f>+N137+O137+P137</f>
        <v>0</v>
      </c>
      <c r="N137" s="1323"/>
      <c r="O137" s="1324"/>
      <c r="P137" s="1325"/>
      <c r="Q137" s="523"/>
      <c r="R137" s="523"/>
    </row>
    <row r="138" spans="1:18" s="521" customFormat="1" ht="12.75" thickBot="1">
      <c r="A138" s="586" t="s">
        <v>895</v>
      </c>
      <c r="B138" s="886"/>
      <c r="C138" s="1385" t="s">
        <v>870</v>
      </c>
      <c r="D138" s="1386"/>
      <c r="E138" s="1386"/>
      <c r="F138" s="1387"/>
      <c r="G138" s="538">
        <f>SUM(G137)</f>
        <v>0</v>
      </c>
      <c r="H138" s="422">
        <f t="shared" ref="H138:P138" si="74">SUM(H137)</f>
        <v>0</v>
      </c>
      <c r="I138" s="539">
        <f t="shared" si="74"/>
        <v>0</v>
      </c>
      <c r="J138" s="377">
        <f t="shared" si="74"/>
        <v>0</v>
      </c>
      <c r="K138" s="377">
        <f t="shared" si="74"/>
        <v>0</v>
      </c>
      <c r="L138" s="364">
        <f t="shared" si="74"/>
        <v>0</v>
      </c>
      <c r="M138" s="538">
        <f t="shared" si="74"/>
        <v>0</v>
      </c>
      <c r="N138" s="539">
        <f t="shared" si="74"/>
        <v>0</v>
      </c>
      <c r="O138" s="377">
        <f t="shared" si="74"/>
        <v>0</v>
      </c>
      <c r="P138" s="364">
        <f t="shared" si="74"/>
        <v>0</v>
      </c>
      <c r="Q138" s="523"/>
      <c r="R138" s="523"/>
    </row>
    <row r="139" spans="1:18" s="525" customFormat="1" ht="12.75" customHeight="1">
      <c r="A139" s="946">
        <f>A137+1</f>
        <v>112</v>
      </c>
      <c r="B139" s="889">
        <v>30</v>
      </c>
      <c r="C139" s="1348" t="s">
        <v>1090</v>
      </c>
      <c r="D139" s="1042" t="s">
        <v>1091</v>
      </c>
      <c r="E139" s="1349" t="s">
        <v>1265</v>
      </c>
      <c r="F139" s="1354" t="s">
        <v>1091</v>
      </c>
      <c r="G139" s="516">
        <f>+H139+M139</f>
        <v>15810</v>
      </c>
      <c r="H139" s="517">
        <f>+I139+J139+K139+L139</f>
        <v>15810</v>
      </c>
      <c r="I139" s="1326">
        <v>3240</v>
      </c>
      <c r="J139" s="1327">
        <v>12570</v>
      </c>
      <c r="K139" s="1327"/>
      <c r="L139" s="1328"/>
      <c r="M139" s="517">
        <f>+N139+O139+P139</f>
        <v>0</v>
      </c>
      <c r="N139" s="1326"/>
      <c r="O139" s="1327"/>
      <c r="P139" s="1328"/>
      <c r="Q139" s="523"/>
      <c r="R139" s="523"/>
    </row>
    <row r="140" spans="1:18" s="525" customFormat="1" ht="12.75" customHeight="1" thickBot="1">
      <c r="A140" s="592">
        <f>A139+1</f>
        <v>113</v>
      </c>
      <c r="B140" s="891">
        <v>30</v>
      </c>
      <c r="C140" s="1337" t="s">
        <v>1017</v>
      </c>
      <c r="D140" s="583" t="s">
        <v>1018</v>
      </c>
      <c r="E140" s="984" t="s">
        <v>1265</v>
      </c>
      <c r="F140" s="1353" t="s">
        <v>1091</v>
      </c>
      <c r="G140" s="562">
        <f>+H140+M140</f>
        <v>0</v>
      </c>
      <c r="H140" s="430">
        <f>+I140+J140+K140+L140</f>
        <v>0</v>
      </c>
      <c r="I140" s="533"/>
      <c r="J140" s="532"/>
      <c r="K140" s="532"/>
      <c r="L140" s="453"/>
      <c r="M140" s="430">
        <f>+N140+O140+P140</f>
        <v>0</v>
      </c>
      <c r="N140" s="533"/>
      <c r="O140" s="532"/>
      <c r="P140" s="453"/>
      <c r="Q140" s="523"/>
      <c r="R140" s="523"/>
    </row>
    <row r="141" spans="1:18" s="521" customFormat="1" ht="12.75" thickBot="1">
      <c r="A141" s="586" t="s">
        <v>896</v>
      </c>
      <c r="B141" s="886"/>
      <c r="C141" s="1385" t="s">
        <v>871</v>
      </c>
      <c r="D141" s="1386"/>
      <c r="E141" s="1386"/>
      <c r="F141" s="1387"/>
      <c r="G141" s="538">
        <f>SUM(G139:G140)</f>
        <v>15810</v>
      </c>
      <c r="H141" s="422">
        <f t="shared" ref="H141:P141" si="75">SUM(H139:H140)</f>
        <v>15810</v>
      </c>
      <c r="I141" s="539">
        <f t="shared" si="75"/>
        <v>3240</v>
      </c>
      <c r="J141" s="377">
        <f t="shared" si="75"/>
        <v>12570</v>
      </c>
      <c r="K141" s="377">
        <f t="shared" si="75"/>
        <v>0</v>
      </c>
      <c r="L141" s="364">
        <f t="shared" si="75"/>
        <v>0</v>
      </c>
      <c r="M141" s="538">
        <f t="shared" si="75"/>
        <v>0</v>
      </c>
      <c r="N141" s="539">
        <f t="shared" si="75"/>
        <v>0</v>
      </c>
      <c r="O141" s="377">
        <f t="shared" si="75"/>
        <v>0</v>
      </c>
      <c r="P141" s="364">
        <f t="shared" si="75"/>
        <v>0</v>
      </c>
      <c r="Q141" s="523"/>
      <c r="R141" s="523"/>
    </row>
    <row r="142" spans="1:18" s="525" customFormat="1" ht="12.75" customHeight="1" thickBot="1">
      <c r="A142" s="592">
        <f>+A140+1</f>
        <v>114</v>
      </c>
      <c r="B142" s="891">
        <v>31</v>
      </c>
      <c r="C142" s="989" t="s">
        <v>19</v>
      </c>
      <c r="D142" s="583" t="s">
        <v>19</v>
      </c>
      <c r="E142" s="984" t="s">
        <v>19</v>
      </c>
      <c r="F142" s="1353" t="s">
        <v>19</v>
      </c>
      <c r="G142" s="562">
        <f>+H142+M142</f>
        <v>0</v>
      </c>
      <c r="H142" s="430">
        <f>+I142+J142+K142+L142</f>
        <v>0</v>
      </c>
      <c r="I142" s="533"/>
      <c r="J142" s="532"/>
      <c r="K142" s="532"/>
      <c r="L142" s="453"/>
      <c r="M142" s="430">
        <f>+N142+O142+P142</f>
        <v>0</v>
      </c>
      <c r="N142" s="533"/>
      <c r="O142" s="532"/>
      <c r="P142" s="453"/>
      <c r="Q142" s="523"/>
      <c r="R142" s="523"/>
    </row>
    <row r="143" spans="1:18" s="521" customFormat="1" ht="12.75" thickBot="1">
      <c r="A143" s="586" t="s">
        <v>897</v>
      </c>
      <c r="B143" s="886"/>
      <c r="C143" s="1385" t="s">
        <v>898</v>
      </c>
      <c r="D143" s="1386"/>
      <c r="E143" s="1386"/>
      <c r="F143" s="1387"/>
      <c r="G143" s="538">
        <f>SUM(G142)</f>
        <v>0</v>
      </c>
      <c r="H143" s="422">
        <f t="shared" ref="H143:P143" si="76">SUM(H142)</f>
        <v>0</v>
      </c>
      <c r="I143" s="539">
        <f t="shared" si="76"/>
        <v>0</v>
      </c>
      <c r="J143" s="377">
        <f t="shared" si="76"/>
        <v>0</v>
      </c>
      <c r="K143" s="377">
        <f t="shared" si="76"/>
        <v>0</v>
      </c>
      <c r="L143" s="364">
        <f t="shared" si="76"/>
        <v>0</v>
      </c>
      <c r="M143" s="422">
        <f t="shared" si="76"/>
        <v>0</v>
      </c>
      <c r="N143" s="539">
        <f t="shared" si="76"/>
        <v>0</v>
      </c>
      <c r="O143" s="377">
        <f t="shared" si="76"/>
        <v>0</v>
      </c>
      <c r="P143" s="364">
        <f t="shared" si="76"/>
        <v>0</v>
      </c>
      <c r="Q143" s="523"/>
      <c r="R143" s="523"/>
    </row>
    <row r="144" spans="1:18" s="521" customFormat="1" ht="12.75" thickBot="1">
      <c r="A144" s="587" t="s">
        <v>560</v>
      </c>
      <c r="B144" s="887"/>
      <c r="C144" s="1379" t="s">
        <v>872</v>
      </c>
      <c r="D144" s="1380"/>
      <c r="E144" s="1380"/>
      <c r="F144" s="1381"/>
      <c r="G144" s="541">
        <f>+G138+G141+G143</f>
        <v>15810</v>
      </c>
      <c r="H144" s="544">
        <f t="shared" ref="H144:P144" si="77">+H138+H141+H143</f>
        <v>15810</v>
      </c>
      <c r="I144" s="558">
        <f t="shared" si="77"/>
        <v>3240</v>
      </c>
      <c r="J144" s="559">
        <f t="shared" si="77"/>
        <v>12570</v>
      </c>
      <c r="K144" s="559">
        <f t="shared" si="77"/>
        <v>0</v>
      </c>
      <c r="L144" s="560">
        <f t="shared" si="77"/>
        <v>0</v>
      </c>
      <c r="M144" s="544">
        <f t="shared" si="77"/>
        <v>0</v>
      </c>
      <c r="N144" s="558">
        <f t="shared" si="77"/>
        <v>0</v>
      </c>
      <c r="O144" s="559">
        <f t="shared" si="77"/>
        <v>0</v>
      </c>
      <c r="P144" s="560">
        <f t="shared" si="77"/>
        <v>0</v>
      </c>
      <c r="Q144" s="523"/>
      <c r="R144" s="523"/>
    </row>
    <row r="145" spans="1:18" s="521" customFormat="1" ht="12.75" thickBot="1">
      <c r="A145" s="586"/>
      <c r="B145" s="890"/>
      <c r="C145" s="988"/>
      <c r="D145" s="585"/>
      <c r="E145" s="983"/>
      <c r="F145" s="537"/>
      <c r="G145" s="538"/>
      <c r="H145" s="422"/>
      <c r="I145" s="539"/>
      <c r="J145" s="377"/>
      <c r="K145" s="377"/>
      <c r="L145" s="364"/>
      <c r="M145" s="422"/>
      <c r="N145" s="539"/>
      <c r="O145" s="377"/>
      <c r="P145" s="364"/>
      <c r="Q145" s="523"/>
      <c r="R145" s="523"/>
    </row>
    <row r="146" spans="1:18">
      <c r="A146" s="590">
        <f>+A142+1</f>
        <v>115</v>
      </c>
      <c r="B146" s="883">
        <v>32</v>
      </c>
      <c r="C146" s="1337" t="s">
        <v>1038</v>
      </c>
      <c r="D146" s="1028" t="s">
        <v>1039</v>
      </c>
      <c r="E146" s="1338" t="s">
        <v>1285</v>
      </c>
      <c r="F146" s="1351" t="s">
        <v>1040</v>
      </c>
      <c r="G146" s="518">
        <f>+H146+M146</f>
        <v>0</v>
      </c>
      <c r="H146" s="519">
        <f>+I146+J146+K146+L146</f>
        <v>0</v>
      </c>
      <c r="I146" s="1320"/>
      <c r="J146" s="1321"/>
      <c r="K146" s="1321"/>
      <c r="L146" s="1322"/>
      <c r="M146" s="519">
        <f>+N146+O146+P146</f>
        <v>0</v>
      </c>
      <c r="N146" s="1320"/>
      <c r="O146" s="1321"/>
      <c r="P146" s="1322"/>
      <c r="Q146" s="523"/>
      <c r="R146" s="523"/>
    </row>
    <row r="147" spans="1:18">
      <c r="A147" s="590">
        <f>+A146+1</f>
        <v>116</v>
      </c>
      <c r="B147" s="883">
        <v>32</v>
      </c>
      <c r="C147" s="1337" t="s">
        <v>1038</v>
      </c>
      <c r="D147" s="1028" t="s">
        <v>1039</v>
      </c>
      <c r="E147" s="1338" t="s">
        <v>1286</v>
      </c>
      <c r="F147" s="1351" t="s">
        <v>1041</v>
      </c>
      <c r="G147" s="518">
        <f>+H147+M147</f>
        <v>0</v>
      </c>
      <c r="H147" s="519">
        <f>+I147+J147+K147+L147</f>
        <v>0</v>
      </c>
      <c r="I147" s="1320"/>
      <c r="J147" s="1321"/>
      <c r="K147" s="1321"/>
      <c r="L147" s="1322"/>
      <c r="M147" s="519">
        <f>+N147+O147+P147</f>
        <v>0</v>
      </c>
      <c r="N147" s="1320"/>
      <c r="O147" s="1321"/>
      <c r="P147" s="1322"/>
      <c r="Q147" s="523"/>
      <c r="R147" s="523"/>
    </row>
    <row r="148" spans="1:18">
      <c r="A148" s="590">
        <f>+A147+1</f>
        <v>117</v>
      </c>
      <c r="B148" s="883">
        <v>32</v>
      </c>
      <c r="C148" s="1337" t="s">
        <v>1043</v>
      </c>
      <c r="D148" s="1028" t="s">
        <v>1042</v>
      </c>
      <c r="E148" s="1338" t="s">
        <v>1285</v>
      </c>
      <c r="F148" s="1351" t="s">
        <v>1040</v>
      </c>
      <c r="G148" s="518">
        <f>+H148+M148</f>
        <v>0</v>
      </c>
      <c r="H148" s="519">
        <f>+I148+J148+K148+L148</f>
        <v>0</v>
      </c>
      <c r="I148" s="1320"/>
      <c r="J148" s="1321"/>
      <c r="K148" s="1321"/>
      <c r="L148" s="1322"/>
      <c r="M148" s="519">
        <f>+N148+O148+P148</f>
        <v>0</v>
      </c>
      <c r="N148" s="1320"/>
      <c r="O148" s="1321"/>
      <c r="P148" s="1322"/>
      <c r="Q148" s="523"/>
      <c r="R148" s="523"/>
    </row>
    <row r="149" spans="1:18">
      <c r="A149" s="590">
        <f t="shared" ref="A149:A150" si="78">+A148+1</f>
        <v>118</v>
      </c>
      <c r="B149" s="883">
        <v>32</v>
      </c>
      <c r="C149" s="1337" t="s">
        <v>1043</v>
      </c>
      <c r="D149" s="1028" t="s">
        <v>1042</v>
      </c>
      <c r="E149" s="1338" t="s">
        <v>1286</v>
      </c>
      <c r="F149" s="1351" t="s">
        <v>1041</v>
      </c>
      <c r="G149" s="518">
        <f>+H149+M149</f>
        <v>0</v>
      </c>
      <c r="H149" s="519">
        <f>+I149+J149+K149+L149</f>
        <v>0</v>
      </c>
      <c r="I149" s="1320"/>
      <c r="J149" s="1321"/>
      <c r="K149" s="1321"/>
      <c r="L149" s="1322"/>
      <c r="M149" s="519">
        <f>+N149+O149+P149</f>
        <v>0</v>
      </c>
      <c r="N149" s="1320"/>
      <c r="O149" s="1321"/>
      <c r="P149" s="1322"/>
      <c r="Q149" s="523"/>
      <c r="R149" s="523"/>
    </row>
    <row r="150" spans="1:18" ht="12.75" thickBot="1">
      <c r="A150" s="590">
        <f t="shared" si="78"/>
        <v>119</v>
      </c>
      <c r="B150" s="883">
        <v>32</v>
      </c>
      <c r="C150" s="1337" t="s">
        <v>1017</v>
      </c>
      <c r="D150" s="1028" t="s">
        <v>1018</v>
      </c>
      <c r="E150" s="1338" t="s">
        <v>1285</v>
      </c>
      <c r="F150" s="1351" t="s">
        <v>1040</v>
      </c>
      <c r="G150" s="518">
        <f>+H150+M150</f>
        <v>0</v>
      </c>
      <c r="H150" s="519">
        <f>+I150+J150+K150+L150</f>
        <v>0</v>
      </c>
      <c r="I150" s="1320"/>
      <c r="J150" s="1321"/>
      <c r="K150" s="1321"/>
      <c r="L150" s="1322"/>
      <c r="M150" s="519">
        <f>+N150+O150+P150</f>
        <v>0</v>
      </c>
      <c r="N150" s="1320"/>
      <c r="O150" s="1321"/>
      <c r="P150" s="1322"/>
      <c r="Q150" s="523"/>
      <c r="R150" s="523"/>
    </row>
    <row r="151" spans="1:18" s="521" customFormat="1" ht="12.75" thickBot="1">
      <c r="A151" s="586" t="s">
        <v>1163</v>
      </c>
      <c r="B151" s="886"/>
      <c r="C151" s="1385" t="s">
        <v>1115</v>
      </c>
      <c r="D151" s="1386"/>
      <c r="E151" s="1386"/>
      <c r="F151" s="1387"/>
      <c r="G151" s="538">
        <f t="shared" ref="G151:P151" si="79">SUM(G146:G150)</f>
        <v>0</v>
      </c>
      <c r="H151" s="422">
        <f t="shared" si="79"/>
        <v>0</v>
      </c>
      <c r="I151" s="539">
        <f t="shared" si="79"/>
        <v>0</v>
      </c>
      <c r="J151" s="377">
        <f t="shared" si="79"/>
        <v>0</v>
      </c>
      <c r="K151" s="377">
        <f t="shared" si="79"/>
        <v>0</v>
      </c>
      <c r="L151" s="364">
        <f t="shared" si="79"/>
        <v>0</v>
      </c>
      <c r="M151" s="538">
        <f t="shared" si="79"/>
        <v>0</v>
      </c>
      <c r="N151" s="539">
        <f t="shared" si="79"/>
        <v>0</v>
      </c>
      <c r="O151" s="377">
        <f t="shared" si="79"/>
        <v>0</v>
      </c>
      <c r="P151" s="364">
        <f t="shared" si="79"/>
        <v>0</v>
      </c>
      <c r="Q151" s="523"/>
      <c r="R151" s="523"/>
    </row>
    <row r="152" spans="1:18" s="525" customFormat="1" ht="12.75" customHeight="1" thickBot="1">
      <c r="A152" s="592">
        <f>A150+1</f>
        <v>120</v>
      </c>
      <c r="B152" s="891">
        <v>33</v>
      </c>
      <c r="C152" s="989" t="s">
        <v>19</v>
      </c>
      <c r="D152" s="583" t="s">
        <v>19</v>
      </c>
      <c r="E152" s="984" t="s">
        <v>19</v>
      </c>
      <c r="F152" s="1353" t="s">
        <v>19</v>
      </c>
      <c r="G152" s="562">
        <f>+H152+M152</f>
        <v>0</v>
      </c>
      <c r="H152" s="430">
        <f>+I152+J152+K152+L152</f>
        <v>0</v>
      </c>
      <c r="I152" s="533"/>
      <c r="J152" s="532"/>
      <c r="K152" s="532"/>
      <c r="L152" s="453"/>
      <c r="M152" s="430">
        <f>+N152+O152+P152</f>
        <v>0</v>
      </c>
      <c r="N152" s="533"/>
      <c r="O152" s="532"/>
      <c r="P152" s="453"/>
      <c r="Q152" s="523"/>
      <c r="R152" s="523"/>
    </row>
    <row r="153" spans="1:18" s="521" customFormat="1" ht="12.75" thickBot="1">
      <c r="A153" s="586" t="s">
        <v>1164</v>
      </c>
      <c r="B153" s="886"/>
      <c r="C153" s="1385" t="s">
        <v>1116</v>
      </c>
      <c r="D153" s="1386"/>
      <c r="E153" s="1386"/>
      <c r="F153" s="1387"/>
      <c r="G153" s="538">
        <f>SUM(G152)</f>
        <v>0</v>
      </c>
      <c r="H153" s="422">
        <f t="shared" ref="H153:P153" si="80">SUM(H152)</f>
        <v>0</v>
      </c>
      <c r="I153" s="539">
        <f t="shared" si="80"/>
        <v>0</v>
      </c>
      <c r="J153" s="377">
        <f t="shared" si="80"/>
        <v>0</v>
      </c>
      <c r="K153" s="377">
        <f t="shared" si="80"/>
        <v>0</v>
      </c>
      <c r="L153" s="364">
        <f t="shared" si="80"/>
        <v>0</v>
      </c>
      <c r="M153" s="538">
        <f t="shared" si="80"/>
        <v>0</v>
      </c>
      <c r="N153" s="539">
        <f t="shared" si="80"/>
        <v>0</v>
      </c>
      <c r="O153" s="377">
        <f t="shared" si="80"/>
        <v>0</v>
      </c>
      <c r="P153" s="364">
        <f t="shared" si="80"/>
        <v>0</v>
      </c>
      <c r="Q153" s="523"/>
      <c r="R153" s="523"/>
    </row>
    <row r="154" spans="1:18" s="525" customFormat="1" ht="12.75" customHeight="1" thickBot="1">
      <c r="A154" s="592">
        <f>+A152+1</f>
        <v>121</v>
      </c>
      <c r="B154" s="891">
        <v>34</v>
      </c>
      <c r="C154" s="989" t="s">
        <v>19</v>
      </c>
      <c r="D154" s="583" t="s">
        <v>19</v>
      </c>
      <c r="E154" s="984" t="s">
        <v>19</v>
      </c>
      <c r="F154" s="1353" t="s">
        <v>19</v>
      </c>
      <c r="G154" s="562">
        <f>+H154+M154</f>
        <v>0</v>
      </c>
      <c r="H154" s="430">
        <f>+I154+J154+K154+L154</f>
        <v>0</v>
      </c>
      <c r="I154" s="533"/>
      <c r="J154" s="532"/>
      <c r="K154" s="532"/>
      <c r="L154" s="453"/>
      <c r="M154" s="430">
        <f>+N154+O154+P154</f>
        <v>0</v>
      </c>
      <c r="N154" s="533"/>
      <c r="O154" s="532"/>
      <c r="P154" s="453"/>
      <c r="Q154" s="523"/>
      <c r="R154" s="523"/>
    </row>
    <row r="155" spans="1:18" s="521" customFormat="1" ht="12.75" thickBot="1">
      <c r="A155" s="586" t="s">
        <v>1165</v>
      </c>
      <c r="B155" s="886"/>
      <c r="C155" s="1385" t="s">
        <v>1117</v>
      </c>
      <c r="D155" s="1386"/>
      <c r="E155" s="1386"/>
      <c r="F155" s="1387"/>
      <c r="G155" s="538">
        <f>SUM(G154)</f>
        <v>0</v>
      </c>
      <c r="H155" s="422">
        <f t="shared" ref="H155:P155" si="81">SUM(H154)</f>
        <v>0</v>
      </c>
      <c r="I155" s="539">
        <f t="shared" si="81"/>
        <v>0</v>
      </c>
      <c r="J155" s="377">
        <f t="shared" si="81"/>
        <v>0</v>
      </c>
      <c r="K155" s="377">
        <f t="shared" si="81"/>
        <v>0</v>
      </c>
      <c r="L155" s="364">
        <f t="shared" si="81"/>
        <v>0</v>
      </c>
      <c r="M155" s="538">
        <f t="shared" si="81"/>
        <v>0</v>
      </c>
      <c r="N155" s="539">
        <f t="shared" si="81"/>
        <v>0</v>
      </c>
      <c r="O155" s="377">
        <f t="shared" si="81"/>
        <v>0</v>
      </c>
      <c r="P155" s="364">
        <f t="shared" si="81"/>
        <v>0</v>
      </c>
      <c r="Q155" s="523"/>
      <c r="R155" s="523"/>
    </row>
    <row r="156" spans="1:18" s="521" customFormat="1" ht="12.75" thickBot="1">
      <c r="A156" s="587" t="s">
        <v>42</v>
      </c>
      <c r="B156" s="887"/>
      <c r="C156" s="1379" t="s">
        <v>1118</v>
      </c>
      <c r="D156" s="1380"/>
      <c r="E156" s="1380"/>
      <c r="F156" s="1381"/>
      <c r="G156" s="541">
        <f t="shared" ref="G156:P156" si="82">+G151+G153+G155</f>
        <v>0</v>
      </c>
      <c r="H156" s="544">
        <f t="shared" si="82"/>
        <v>0</v>
      </c>
      <c r="I156" s="558">
        <f t="shared" si="82"/>
        <v>0</v>
      </c>
      <c r="J156" s="559">
        <f t="shared" si="82"/>
        <v>0</v>
      </c>
      <c r="K156" s="559">
        <f t="shared" si="82"/>
        <v>0</v>
      </c>
      <c r="L156" s="560">
        <f t="shared" si="82"/>
        <v>0</v>
      </c>
      <c r="M156" s="544">
        <f t="shared" si="82"/>
        <v>0</v>
      </c>
      <c r="N156" s="558">
        <f t="shared" si="82"/>
        <v>0</v>
      </c>
      <c r="O156" s="559">
        <f t="shared" si="82"/>
        <v>0</v>
      </c>
      <c r="P156" s="560">
        <f t="shared" si="82"/>
        <v>0</v>
      </c>
      <c r="Q156" s="523"/>
      <c r="R156" s="523"/>
    </row>
    <row r="157" spans="1:18" ht="12.75" thickBot="1">
      <c r="A157" s="592"/>
      <c r="B157" s="891"/>
      <c r="C157" s="989"/>
      <c r="D157" s="583"/>
      <c r="E157" s="984"/>
      <c r="F157" s="561"/>
      <c r="G157" s="562"/>
      <c r="H157" s="430"/>
      <c r="I157" s="533"/>
      <c r="J157" s="532"/>
      <c r="K157" s="532"/>
      <c r="L157" s="453"/>
      <c r="M157" s="430"/>
      <c r="N157" s="533"/>
      <c r="O157" s="532"/>
      <c r="P157" s="453"/>
      <c r="Q157" s="523"/>
      <c r="R157" s="523"/>
    </row>
    <row r="158" spans="1:18" ht="12.75" thickBot="1">
      <c r="A158" s="587" t="s">
        <v>41</v>
      </c>
      <c r="B158" s="887"/>
      <c r="C158" s="1379" t="s">
        <v>762</v>
      </c>
      <c r="D158" s="1380"/>
      <c r="E158" s="1380"/>
      <c r="F158" s="1381"/>
      <c r="G158" s="563">
        <f>+G90+G110+G123+G135+G144+G156</f>
        <v>1874448</v>
      </c>
      <c r="H158" s="564">
        <f t="shared" ref="H158:P158" si="83">+H90+H110+H123+H135+H144+H156</f>
        <v>1485199</v>
      </c>
      <c r="I158" s="565">
        <f t="shared" si="83"/>
        <v>962806</v>
      </c>
      <c r="J158" s="566">
        <f t="shared" si="83"/>
        <v>384050</v>
      </c>
      <c r="K158" s="566">
        <f t="shared" si="83"/>
        <v>132543</v>
      </c>
      <c r="L158" s="564">
        <f t="shared" si="83"/>
        <v>5800</v>
      </c>
      <c r="M158" s="564">
        <f t="shared" si="83"/>
        <v>389249</v>
      </c>
      <c r="N158" s="565">
        <f t="shared" si="83"/>
        <v>377399</v>
      </c>
      <c r="O158" s="566">
        <f t="shared" si="83"/>
        <v>10350</v>
      </c>
      <c r="P158" s="564">
        <f t="shared" si="83"/>
        <v>1500</v>
      </c>
      <c r="Q158" s="523"/>
      <c r="R158" s="523"/>
    </row>
    <row r="159" spans="1:18">
      <c r="Q159" s="523"/>
      <c r="R159" s="523"/>
    </row>
    <row r="160" spans="1:18">
      <c r="Q160" s="523"/>
      <c r="R160" s="523"/>
    </row>
    <row r="161" spans="1:25">
      <c r="Q161" s="523"/>
      <c r="R161" s="523"/>
    </row>
    <row r="162" spans="1:25">
      <c r="Q162" s="523"/>
      <c r="R162" s="523"/>
    </row>
    <row r="164" spans="1:25" ht="15.75" customHeight="1">
      <c r="A164" s="1405" t="s">
        <v>777</v>
      </c>
      <c r="B164" s="1405"/>
      <c r="C164" s="1405"/>
      <c r="D164" s="1405"/>
      <c r="E164" s="1405"/>
      <c r="F164" s="1405"/>
      <c r="G164" s="1405"/>
      <c r="H164" s="1405"/>
      <c r="I164" s="1405"/>
      <c r="J164" s="1405"/>
      <c r="K164" s="1405"/>
      <c r="L164" s="1405"/>
      <c r="M164" s="1405"/>
      <c r="N164" s="1405"/>
      <c r="O164" s="1405"/>
      <c r="P164" s="1405"/>
      <c r="Q164" s="1405"/>
      <c r="R164" s="1003"/>
    </row>
    <row r="165" spans="1:25" ht="12.75" thickBot="1">
      <c r="L165" s="234"/>
      <c r="P165" s="567"/>
      <c r="Q165" s="234" t="s">
        <v>458</v>
      </c>
      <c r="R165" s="234"/>
    </row>
    <row r="166" spans="1:25" s="525" customFormat="1" ht="12.75" customHeight="1" thickBot="1">
      <c r="A166" s="1406" t="s">
        <v>17</v>
      </c>
      <c r="B166" s="1515" t="s">
        <v>1056</v>
      </c>
      <c r="C166" s="1511" t="s">
        <v>770</v>
      </c>
      <c r="D166" s="1513" t="s">
        <v>769</v>
      </c>
      <c r="E166" s="1509" t="s">
        <v>753</v>
      </c>
      <c r="F166" s="1507" t="s">
        <v>763</v>
      </c>
      <c r="G166" s="1397" t="s">
        <v>1317</v>
      </c>
      <c r="H166" s="1397" t="s">
        <v>1345</v>
      </c>
      <c r="I166" s="1427" t="s">
        <v>754</v>
      </c>
      <c r="J166" s="1428"/>
      <c r="K166" s="1428"/>
      <c r="L166" s="1428"/>
      <c r="M166" s="1429"/>
      <c r="N166" s="1397" t="s">
        <v>1346</v>
      </c>
      <c r="O166" s="1427" t="s">
        <v>754</v>
      </c>
      <c r="P166" s="1428"/>
      <c r="Q166" s="1429"/>
      <c r="R166" s="865"/>
    </row>
    <row r="167" spans="1:25" s="525" customFormat="1" ht="84" customHeight="1" thickBot="1">
      <c r="A167" s="1408"/>
      <c r="B167" s="1516"/>
      <c r="C167" s="1512"/>
      <c r="D167" s="1514"/>
      <c r="E167" s="1510"/>
      <c r="F167" s="1508"/>
      <c r="G167" s="1398"/>
      <c r="H167" s="1398"/>
      <c r="I167" s="303" t="s">
        <v>46</v>
      </c>
      <c r="J167" s="376" t="s">
        <v>447</v>
      </c>
      <c r="K167" s="376" t="s">
        <v>448</v>
      </c>
      <c r="L167" s="376" t="s">
        <v>774</v>
      </c>
      <c r="M167" s="375" t="s">
        <v>450</v>
      </c>
      <c r="N167" s="1398"/>
      <c r="O167" s="303" t="s">
        <v>451</v>
      </c>
      <c r="P167" s="376" t="s">
        <v>452</v>
      </c>
      <c r="Q167" s="375" t="s">
        <v>453</v>
      </c>
      <c r="R167" s="526"/>
    </row>
    <row r="168" spans="1:25" s="525" customFormat="1">
      <c r="A168" s="590">
        <v>1</v>
      </c>
      <c r="B168" s="882">
        <v>1</v>
      </c>
      <c r="C168" s="1335" t="s">
        <v>676</v>
      </c>
      <c r="D168" s="1018" t="s">
        <v>675</v>
      </c>
      <c r="E168" s="1336">
        <v>999000</v>
      </c>
      <c r="F168" s="1019" t="s">
        <v>415</v>
      </c>
      <c r="G168" s="518">
        <f t="shared" ref="G168:G239" si="84">+H168+N168</f>
        <v>40043</v>
      </c>
      <c r="H168" s="519">
        <f>+I168+J168+K168+L168+M168</f>
        <v>40043</v>
      </c>
      <c r="I168" s="1329">
        <v>33550</v>
      </c>
      <c r="J168" s="1327">
        <v>6302</v>
      </c>
      <c r="K168" s="1321">
        <v>191</v>
      </c>
      <c r="L168" s="1321"/>
      <c r="M168" s="1322"/>
      <c r="N168" s="519">
        <f>+O168+P168+Q168</f>
        <v>0</v>
      </c>
      <c r="O168" s="1320"/>
      <c r="P168" s="1321"/>
      <c r="Q168" s="1322"/>
      <c r="R168" s="523"/>
      <c r="S168" s="523"/>
      <c r="T168" s="523"/>
      <c r="U168" s="523"/>
      <c r="V168" s="523"/>
      <c r="X168" s="523"/>
      <c r="Y168" s="523"/>
    </row>
    <row r="169" spans="1:25" s="525" customFormat="1">
      <c r="A169" s="590">
        <f>+A168+1</f>
        <v>2</v>
      </c>
      <c r="B169" s="883">
        <v>8</v>
      </c>
      <c r="C169" s="1337" t="s">
        <v>676</v>
      </c>
      <c r="D169" s="1022" t="s">
        <v>675</v>
      </c>
      <c r="E169" s="1338" t="s">
        <v>1265</v>
      </c>
      <c r="F169" s="1024" t="s">
        <v>1010</v>
      </c>
      <c r="G169" s="518">
        <f t="shared" si="84"/>
        <v>2861957</v>
      </c>
      <c r="H169" s="519">
        <f t="shared" ref="H169:H239" si="85">+I169+J169+K169+L169+M169</f>
        <v>2854517</v>
      </c>
      <c r="I169" s="1320"/>
      <c r="J169" s="1324"/>
      <c r="K169" s="1324">
        <v>48384</v>
      </c>
      <c r="L169" s="1324"/>
      <c r="M169" s="1325">
        <v>2806133</v>
      </c>
      <c r="N169" s="519">
        <f t="shared" ref="N169:N239" si="86">+O169+P169+Q169</f>
        <v>7440</v>
      </c>
      <c r="O169" s="1323">
        <v>1440</v>
      </c>
      <c r="P169" s="1324">
        <v>6000</v>
      </c>
      <c r="Q169" s="1325"/>
      <c r="R169" s="523"/>
    </row>
    <row r="170" spans="1:25" s="525" customFormat="1">
      <c r="A170" s="590">
        <f t="shared" ref="A170:A244" si="87">+A169+1</f>
        <v>3</v>
      </c>
      <c r="B170" s="883">
        <v>7</v>
      </c>
      <c r="C170" s="1337" t="s">
        <v>1289</v>
      </c>
      <c r="D170" s="1022" t="s">
        <v>1301</v>
      </c>
      <c r="E170" s="1338" t="s">
        <v>1265</v>
      </c>
      <c r="F170" s="1024" t="s">
        <v>1290</v>
      </c>
      <c r="G170" s="518">
        <f t="shared" si="84"/>
        <v>0</v>
      </c>
      <c r="H170" s="519">
        <f t="shared" si="85"/>
        <v>0</v>
      </c>
      <c r="I170" s="1320"/>
      <c r="J170" s="1324"/>
      <c r="K170" s="1324"/>
      <c r="L170" s="1324"/>
      <c r="M170" s="1325"/>
      <c r="N170" s="519">
        <f t="shared" si="86"/>
        <v>0</v>
      </c>
      <c r="O170" s="1323"/>
      <c r="P170" s="1324"/>
      <c r="Q170" s="1325"/>
      <c r="R170" s="523"/>
    </row>
    <row r="171" spans="1:25" s="529" customFormat="1">
      <c r="A171" s="590">
        <f t="shared" si="87"/>
        <v>4</v>
      </c>
      <c r="B171" s="883">
        <v>8</v>
      </c>
      <c r="C171" s="1337" t="s">
        <v>684</v>
      </c>
      <c r="D171" s="1022" t="s">
        <v>868</v>
      </c>
      <c r="E171" s="1338" t="s">
        <v>1265</v>
      </c>
      <c r="F171" s="1024" t="s">
        <v>683</v>
      </c>
      <c r="G171" s="527">
        <f t="shared" si="84"/>
        <v>500</v>
      </c>
      <c r="H171" s="528">
        <f t="shared" si="85"/>
        <v>500</v>
      </c>
      <c r="I171" s="1320"/>
      <c r="J171" s="1330"/>
      <c r="K171" s="1330"/>
      <c r="L171" s="1330"/>
      <c r="M171" s="1331">
        <v>500</v>
      </c>
      <c r="N171" s="528">
        <f t="shared" si="86"/>
        <v>0</v>
      </c>
      <c r="O171" s="1333"/>
      <c r="P171" s="1330"/>
      <c r="Q171" s="1331"/>
      <c r="R171" s="1355"/>
    </row>
    <row r="172" spans="1:25" s="525" customFormat="1">
      <c r="A172" s="590">
        <f t="shared" si="87"/>
        <v>5</v>
      </c>
      <c r="B172" s="883">
        <v>8</v>
      </c>
      <c r="C172" s="1337" t="s">
        <v>678</v>
      </c>
      <c r="D172" s="1022" t="s">
        <v>677</v>
      </c>
      <c r="E172" s="1339" t="s">
        <v>1265</v>
      </c>
      <c r="F172" s="1024" t="s">
        <v>643</v>
      </c>
      <c r="G172" s="530">
        <f t="shared" si="84"/>
        <v>0</v>
      </c>
      <c r="H172" s="531">
        <f t="shared" si="85"/>
        <v>0</v>
      </c>
      <c r="I172" s="1320"/>
      <c r="J172" s="1324"/>
      <c r="K172" s="1324"/>
      <c r="L172" s="1324"/>
      <c r="M172" s="1325"/>
      <c r="N172" s="531">
        <f t="shared" si="86"/>
        <v>0</v>
      </c>
      <c r="O172" s="1323"/>
      <c r="P172" s="1324"/>
      <c r="Q172" s="1325"/>
      <c r="R172" s="523"/>
    </row>
    <row r="173" spans="1:25">
      <c r="A173" s="590">
        <f t="shared" si="87"/>
        <v>6</v>
      </c>
      <c r="B173" s="883">
        <v>2</v>
      </c>
      <c r="C173" s="1337" t="s">
        <v>729</v>
      </c>
      <c r="D173" s="583" t="s">
        <v>728</v>
      </c>
      <c r="E173" s="1338" t="s">
        <v>1266</v>
      </c>
      <c r="F173" s="1026" t="s">
        <v>728</v>
      </c>
      <c r="G173" s="518">
        <f t="shared" si="84"/>
        <v>7000</v>
      </c>
      <c r="H173" s="519">
        <f t="shared" si="85"/>
        <v>7000</v>
      </c>
      <c r="I173" s="1320"/>
      <c r="J173" s="532"/>
      <c r="K173" s="532">
        <v>7000</v>
      </c>
      <c r="L173" s="532"/>
      <c r="M173" s="453"/>
      <c r="N173" s="519">
        <f t="shared" si="86"/>
        <v>0</v>
      </c>
      <c r="O173" s="533"/>
      <c r="P173" s="532"/>
      <c r="Q173" s="453"/>
      <c r="R173" s="523"/>
    </row>
    <row r="174" spans="1:25" ht="12.75" customHeight="1">
      <c r="A174" s="590">
        <f t="shared" si="87"/>
        <v>7</v>
      </c>
      <c r="B174" s="883">
        <v>8</v>
      </c>
      <c r="C174" s="1337" t="s">
        <v>713</v>
      </c>
      <c r="D174" s="1022" t="s">
        <v>1071</v>
      </c>
      <c r="E174" s="1339" t="s">
        <v>1267</v>
      </c>
      <c r="F174" s="1027" t="s">
        <v>1073</v>
      </c>
      <c r="G174" s="530">
        <f t="shared" si="84"/>
        <v>0</v>
      </c>
      <c r="H174" s="531">
        <f t="shared" si="85"/>
        <v>0</v>
      </c>
      <c r="I174" s="1320"/>
      <c r="J174" s="1324"/>
      <c r="K174" s="1324"/>
      <c r="L174" s="1324"/>
      <c r="M174" s="1325"/>
      <c r="N174" s="531">
        <f t="shared" si="86"/>
        <v>0</v>
      </c>
      <c r="O174" s="1323"/>
      <c r="P174" s="1324"/>
      <c r="Q174" s="1325"/>
      <c r="R174" s="523"/>
    </row>
    <row r="175" spans="1:25" s="536" customFormat="1">
      <c r="A175" s="590">
        <f t="shared" si="87"/>
        <v>8</v>
      </c>
      <c r="B175" s="883">
        <v>8</v>
      </c>
      <c r="C175" s="1337" t="s">
        <v>713</v>
      </c>
      <c r="D175" s="1028" t="s">
        <v>1071</v>
      </c>
      <c r="E175" s="1339" t="s">
        <v>1268</v>
      </c>
      <c r="F175" s="1029" t="s">
        <v>659</v>
      </c>
      <c r="G175" s="530">
        <f t="shared" si="84"/>
        <v>6146</v>
      </c>
      <c r="H175" s="531">
        <f t="shared" si="85"/>
        <v>6146</v>
      </c>
      <c r="I175" s="1320"/>
      <c r="J175" s="1324"/>
      <c r="K175" s="1324">
        <v>6146</v>
      </c>
      <c r="L175" s="1324"/>
      <c r="M175" s="1325"/>
      <c r="N175" s="531">
        <f t="shared" si="86"/>
        <v>0</v>
      </c>
      <c r="O175" s="1323"/>
      <c r="P175" s="1324"/>
      <c r="Q175" s="1325"/>
      <c r="R175" s="523"/>
    </row>
    <row r="176" spans="1:25">
      <c r="A176" s="590">
        <f t="shared" si="87"/>
        <v>9</v>
      </c>
      <c r="B176" s="883">
        <v>8</v>
      </c>
      <c r="C176" s="1337" t="s">
        <v>710</v>
      </c>
      <c r="D176" s="1022" t="s">
        <v>709</v>
      </c>
      <c r="E176" s="1339" t="s">
        <v>1269</v>
      </c>
      <c r="F176" s="1027" t="s">
        <v>785</v>
      </c>
      <c r="G176" s="530">
        <f t="shared" si="84"/>
        <v>6210</v>
      </c>
      <c r="H176" s="531">
        <f t="shared" si="85"/>
        <v>6210</v>
      </c>
      <c r="I176" s="1320"/>
      <c r="J176" s="1324"/>
      <c r="K176" s="1324">
        <v>6210</v>
      </c>
      <c r="L176" s="1324"/>
      <c r="M176" s="1325"/>
      <c r="N176" s="531">
        <f t="shared" si="86"/>
        <v>0</v>
      </c>
      <c r="O176" s="1323"/>
      <c r="P176" s="1324"/>
      <c r="Q176" s="1325"/>
      <c r="R176" s="523"/>
    </row>
    <row r="177" spans="1:18">
      <c r="A177" s="590">
        <f t="shared" si="87"/>
        <v>10</v>
      </c>
      <c r="B177" s="883">
        <v>8</v>
      </c>
      <c r="C177" s="1337" t="s">
        <v>1014</v>
      </c>
      <c r="D177" s="1022" t="s">
        <v>1015</v>
      </c>
      <c r="E177" s="1339" t="s">
        <v>1265</v>
      </c>
      <c r="F177" s="1027" t="s">
        <v>1016</v>
      </c>
      <c r="G177" s="530">
        <f t="shared" si="84"/>
        <v>19000</v>
      </c>
      <c r="H177" s="531">
        <f t="shared" si="85"/>
        <v>19000</v>
      </c>
      <c r="I177" s="1320"/>
      <c r="J177" s="1324"/>
      <c r="K177" s="1324">
        <v>19000</v>
      </c>
      <c r="L177" s="1324"/>
      <c r="M177" s="1325"/>
      <c r="N177" s="531">
        <f t="shared" si="86"/>
        <v>0</v>
      </c>
      <c r="O177" s="1323"/>
      <c r="P177" s="1324"/>
      <c r="Q177" s="1325"/>
      <c r="R177" s="523"/>
    </row>
    <row r="178" spans="1:18">
      <c r="A178" s="590">
        <f t="shared" si="87"/>
        <v>11</v>
      </c>
      <c r="B178" s="883">
        <v>8</v>
      </c>
      <c r="C178" s="1337" t="s">
        <v>734</v>
      </c>
      <c r="D178" s="1022" t="s">
        <v>732</v>
      </c>
      <c r="E178" s="1339" t="s">
        <v>1265</v>
      </c>
      <c r="F178" s="1027" t="s">
        <v>730</v>
      </c>
      <c r="G178" s="530">
        <f t="shared" si="84"/>
        <v>0</v>
      </c>
      <c r="H178" s="531">
        <f t="shared" si="85"/>
        <v>0</v>
      </c>
      <c r="I178" s="1320"/>
      <c r="J178" s="1324"/>
      <c r="K178" s="1324"/>
      <c r="L178" s="1324"/>
      <c r="M178" s="1325"/>
      <c r="N178" s="531">
        <f t="shared" si="86"/>
        <v>0</v>
      </c>
      <c r="O178" s="1323"/>
      <c r="P178" s="1324"/>
      <c r="Q178" s="1325"/>
      <c r="R178" s="523"/>
    </row>
    <row r="179" spans="1:18">
      <c r="A179" s="590">
        <f t="shared" si="87"/>
        <v>12</v>
      </c>
      <c r="B179" s="883">
        <v>8</v>
      </c>
      <c r="C179" s="1337" t="s">
        <v>731</v>
      </c>
      <c r="D179" s="1022" t="s">
        <v>733</v>
      </c>
      <c r="E179" s="1339" t="s">
        <v>1265</v>
      </c>
      <c r="F179" s="1027" t="s">
        <v>660</v>
      </c>
      <c r="G179" s="530">
        <f t="shared" si="84"/>
        <v>13076</v>
      </c>
      <c r="H179" s="531">
        <f t="shared" si="85"/>
        <v>13076</v>
      </c>
      <c r="I179" s="1320"/>
      <c r="J179" s="1324"/>
      <c r="K179" s="1324"/>
      <c r="L179" s="1324"/>
      <c r="M179" s="1325">
        <v>13076</v>
      </c>
      <c r="N179" s="531">
        <f t="shared" si="86"/>
        <v>0</v>
      </c>
      <c r="O179" s="1323"/>
      <c r="P179" s="1324"/>
      <c r="Q179" s="1325"/>
      <c r="R179" s="523"/>
    </row>
    <row r="180" spans="1:18">
      <c r="A180" s="590">
        <f t="shared" si="87"/>
        <v>13</v>
      </c>
      <c r="B180" s="883">
        <v>8</v>
      </c>
      <c r="C180" s="1337" t="s">
        <v>1017</v>
      </c>
      <c r="D180" s="1022" t="s">
        <v>1018</v>
      </c>
      <c r="E180" s="1339" t="s">
        <v>1265</v>
      </c>
      <c r="F180" s="1027" t="s">
        <v>1010</v>
      </c>
      <c r="G180" s="530">
        <f t="shared" si="84"/>
        <v>0</v>
      </c>
      <c r="H180" s="531">
        <f t="shared" si="85"/>
        <v>0</v>
      </c>
      <c r="I180" s="1320"/>
      <c r="J180" s="1324"/>
      <c r="K180" s="1324"/>
      <c r="L180" s="1324"/>
      <c r="M180" s="1325"/>
      <c r="N180" s="531">
        <f t="shared" si="86"/>
        <v>0</v>
      </c>
      <c r="O180" s="1323"/>
      <c r="P180" s="1324"/>
      <c r="Q180" s="1325"/>
      <c r="R180" s="523"/>
    </row>
    <row r="181" spans="1:18">
      <c r="A181" s="590">
        <f t="shared" si="87"/>
        <v>14</v>
      </c>
      <c r="B181" s="883">
        <v>8</v>
      </c>
      <c r="C181" s="1337" t="s">
        <v>736</v>
      </c>
      <c r="D181" s="1022" t="s">
        <v>735</v>
      </c>
      <c r="E181" s="1339" t="s">
        <v>1265</v>
      </c>
      <c r="F181" s="1027" t="s">
        <v>661</v>
      </c>
      <c r="G181" s="530">
        <f t="shared" si="84"/>
        <v>500</v>
      </c>
      <c r="H181" s="531">
        <f t="shared" si="85"/>
        <v>500</v>
      </c>
      <c r="I181" s="1320"/>
      <c r="J181" s="1324"/>
      <c r="K181" s="1324"/>
      <c r="L181" s="1324"/>
      <c r="M181" s="1325">
        <v>500</v>
      </c>
      <c r="N181" s="531">
        <f t="shared" si="86"/>
        <v>0</v>
      </c>
      <c r="O181" s="1323"/>
      <c r="P181" s="1324"/>
      <c r="Q181" s="1325"/>
      <c r="R181" s="523"/>
    </row>
    <row r="182" spans="1:18">
      <c r="A182" s="590">
        <f t="shared" si="87"/>
        <v>15</v>
      </c>
      <c r="B182" s="883">
        <v>6</v>
      </c>
      <c r="C182" s="1337" t="s">
        <v>718</v>
      </c>
      <c r="D182" s="1022" t="s">
        <v>670</v>
      </c>
      <c r="E182" s="1339" t="s">
        <v>1265</v>
      </c>
      <c r="F182" s="1027" t="s">
        <v>717</v>
      </c>
      <c r="G182" s="530">
        <f t="shared" si="84"/>
        <v>0</v>
      </c>
      <c r="H182" s="531">
        <f t="shared" si="85"/>
        <v>0</v>
      </c>
      <c r="I182" s="1320"/>
      <c r="J182" s="1324"/>
      <c r="K182" s="1324"/>
      <c r="L182" s="1324"/>
      <c r="M182" s="1325"/>
      <c r="N182" s="531">
        <f t="shared" si="86"/>
        <v>0</v>
      </c>
      <c r="O182" s="1323"/>
      <c r="P182" s="1324"/>
      <c r="Q182" s="1325"/>
      <c r="R182" s="523"/>
    </row>
    <row r="183" spans="1:18">
      <c r="A183" s="590">
        <f t="shared" si="87"/>
        <v>16</v>
      </c>
      <c r="B183" s="883">
        <v>6</v>
      </c>
      <c r="C183" s="1337" t="s">
        <v>719</v>
      </c>
      <c r="D183" s="1022" t="s">
        <v>671</v>
      </c>
      <c r="E183" s="1339" t="s">
        <v>1265</v>
      </c>
      <c r="F183" s="1027" t="s">
        <v>717</v>
      </c>
      <c r="G183" s="530">
        <f t="shared" si="84"/>
        <v>0</v>
      </c>
      <c r="H183" s="531">
        <f t="shared" si="85"/>
        <v>0</v>
      </c>
      <c r="I183" s="1320"/>
      <c r="J183" s="1324"/>
      <c r="K183" s="1324"/>
      <c r="L183" s="1324"/>
      <c r="M183" s="1325"/>
      <c r="N183" s="531">
        <f t="shared" si="86"/>
        <v>0</v>
      </c>
      <c r="O183" s="1323"/>
      <c r="P183" s="1324"/>
      <c r="Q183" s="1325"/>
      <c r="R183" s="523"/>
    </row>
    <row r="184" spans="1:18">
      <c r="A184" s="590">
        <f t="shared" si="87"/>
        <v>17</v>
      </c>
      <c r="B184" s="883">
        <v>6</v>
      </c>
      <c r="C184" s="1337" t="s">
        <v>721</v>
      </c>
      <c r="D184" s="1022" t="s">
        <v>722</v>
      </c>
      <c r="E184" s="1339" t="s">
        <v>1265</v>
      </c>
      <c r="F184" s="1027" t="s">
        <v>720</v>
      </c>
      <c r="G184" s="530">
        <f t="shared" si="84"/>
        <v>30471</v>
      </c>
      <c r="H184" s="531">
        <f t="shared" si="85"/>
        <v>30471</v>
      </c>
      <c r="I184" s="1320">
        <v>14097</v>
      </c>
      <c r="J184" s="1324">
        <v>1374</v>
      </c>
      <c r="K184" s="1324">
        <v>15000</v>
      </c>
      <c r="L184" s="1324"/>
      <c r="M184" s="1325"/>
      <c r="N184" s="531">
        <f t="shared" si="86"/>
        <v>0</v>
      </c>
      <c r="O184" s="1323"/>
      <c r="P184" s="1324"/>
      <c r="Q184" s="1325"/>
      <c r="R184" s="523"/>
    </row>
    <row r="185" spans="1:18">
      <c r="A185" s="590">
        <f t="shared" si="87"/>
        <v>18</v>
      </c>
      <c r="B185" s="883">
        <v>6</v>
      </c>
      <c r="C185" s="1337" t="s">
        <v>725</v>
      </c>
      <c r="D185" s="1022" t="s">
        <v>726</v>
      </c>
      <c r="E185" s="1339" t="s">
        <v>1265</v>
      </c>
      <c r="F185" s="1027" t="s">
        <v>723</v>
      </c>
      <c r="G185" s="530">
        <f t="shared" si="84"/>
        <v>0</v>
      </c>
      <c r="H185" s="531">
        <f t="shared" si="85"/>
        <v>0</v>
      </c>
      <c r="I185" s="1320"/>
      <c r="J185" s="1324"/>
      <c r="K185" s="1324"/>
      <c r="L185" s="1324"/>
      <c r="M185" s="1325"/>
      <c r="N185" s="531">
        <f t="shared" si="86"/>
        <v>0</v>
      </c>
      <c r="O185" s="1323"/>
      <c r="P185" s="1324"/>
      <c r="Q185" s="1325"/>
      <c r="R185" s="523"/>
    </row>
    <row r="186" spans="1:18">
      <c r="A186" s="590">
        <f t="shared" si="87"/>
        <v>19</v>
      </c>
      <c r="B186" s="883">
        <v>6</v>
      </c>
      <c r="C186" s="1340" t="s">
        <v>724</v>
      </c>
      <c r="D186" s="1022" t="s">
        <v>672</v>
      </c>
      <c r="E186" s="1339" t="s">
        <v>1265</v>
      </c>
      <c r="F186" s="1027" t="s">
        <v>723</v>
      </c>
      <c r="G186" s="530">
        <f t="shared" si="84"/>
        <v>13315</v>
      </c>
      <c r="H186" s="531">
        <f t="shared" si="85"/>
        <v>13315</v>
      </c>
      <c r="I186" s="1320">
        <v>12132</v>
      </c>
      <c r="J186" s="1324">
        <v>1183</v>
      </c>
      <c r="K186" s="1324"/>
      <c r="L186" s="1324"/>
      <c r="M186" s="1325"/>
      <c r="N186" s="531">
        <f t="shared" si="86"/>
        <v>0</v>
      </c>
      <c r="O186" s="1323"/>
      <c r="P186" s="1324"/>
      <c r="Q186" s="1325"/>
      <c r="R186" s="523"/>
    </row>
    <row r="187" spans="1:18">
      <c r="A187" s="590">
        <f t="shared" si="87"/>
        <v>20</v>
      </c>
      <c r="B187" s="884">
        <v>8</v>
      </c>
      <c r="C187" s="1341" t="s">
        <v>715</v>
      </c>
      <c r="D187" s="1030" t="s">
        <v>714</v>
      </c>
      <c r="E187" s="1342" t="s">
        <v>1270</v>
      </c>
      <c r="F187" s="1032" t="s">
        <v>1019</v>
      </c>
      <c r="G187" s="530">
        <f t="shared" si="84"/>
        <v>3500</v>
      </c>
      <c r="H187" s="531">
        <f t="shared" si="85"/>
        <v>3500</v>
      </c>
      <c r="I187" s="1320"/>
      <c r="J187" s="1324"/>
      <c r="K187" s="1324">
        <v>3500</v>
      </c>
      <c r="L187" s="1324"/>
      <c r="M187" s="1325"/>
      <c r="N187" s="531">
        <f t="shared" si="86"/>
        <v>0</v>
      </c>
      <c r="O187" s="1323"/>
      <c r="P187" s="1324"/>
      <c r="Q187" s="1325"/>
      <c r="R187" s="523"/>
    </row>
    <row r="188" spans="1:18">
      <c r="A188" s="590">
        <f t="shared" si="87"/>
        <v>21</v>
      </c>
      <c r="B188" s="885">
        <v>5</v>
      </c>
      <c r="C188" s="1341" t="s">
        <v>703</v>
      </c>
      <c r="D188" s="1030" t="s">
        <v>651</v>
      </c>
      <c r="E188" s="1342" t="s">
        <v>1265</v>
      </c>
      <c r="F188" s="1032" t="s">
        <v>651</v>
      </c>
      <c r="G188" s="530">
        <f t="shared" si="84"/>
        <v>0</v>
      </c>
      <c r="H188" s="531">
        <f t="shared" si="85"/>
        <v>0</v>
      </c>
      <c r="I188" s="1320"/>
      <c r="J188" s="1324"/>
      <c r="K188" s="1324"/>
      <c r="L188" s="1324"/>
      <c r="M188" s="1325"/>
      <c r="N188" s="531">
        <f t="shared" si="86"/>
        <v>0</v>
      </c>
      <c r="O188" s="1323"/>
      <c r="P188" s="1324"/>
      <c r="Q188" s="1325"/>
      <c r="R188" s="523"/>
    </row>
    <row r="189" spans="1:18">
      <c r="A189" s="590">
        <f t="shared" si="87"/>
        <v>22</v>
      </c>
      <c r="B189" s="885">
        <v>8</v>
      </c>
      <c r="C189" s="1340" t="s">
        <v>705</v>
      </c>
      <c r="D189" s="1022" t="s">
        <v>704</v>
      </c>
      <c r="E189" s="1339" t="s">
        <v>1287</v>
      </c>
      <c r="F189" s="1027" t="s">
        <v>704</v>
      </c>
      <c r="G189" s="530">
        <f t="shared" si="84"/>
        <v>0</v>
      </c>
      <c r="H189" s="531">
        <f t="shared" si="85"/>
        <v>0</v>
      </c>
      <c r="I189" s="1320"/>
      <c r="J189" s="1324"/>
      <c r="K189" s="1324"/>
      <c r="L189" s="1324"/>
      <c r="M189" s="1325"/>
      <c r="N189" s="531">
        <f t="shared" si="86"/>
        <v>0</v>
      </c>
      <c r="O189" s="1323"/>
      <c r="P189" s="1324"/>
      <c r="Q189" s="1325"/>
      <c r="R189" s="523"/>
    </row>
    <row r="190" spans="1:18">
      <c r="A190" s="590">
        <f t="shared" si="87"/>
        <v>23</v>
      </c>
      <c r="B190" s="884">
        <v>5</v>
      </c>
      <c r="C190" s="1340" t="s">
        <v>706</v>
      </c>
      <c r="D190" s="1022" t="s">
        <v>652</v>
      </c>
      <c r="E190" s="1339" t="s">
        <v>1265</v>
      </c>
      <c r="F190" s="1027" t="s">
        <v>652</v>
      </c>
      <c r="G190" s="530">
        <f t="shared" si="84"/>
        <v>29700</v>
      </c>
      <c r="H190" s="531">
        <f t="shared" si="85"/>
        <v>18200</v>
      </c>
      <c r="I190" s="1320"/>
      <c r="J190" s="1324"/>
      <c r="K190" s="1324">
        <v>18200</v>
      </c>
      <c r="L190" s="1324"/>
      <c r="M190" s="1325"/>
      <c r="N190" s="531">
        <f t="shared" si="86"/>
        <v>11500</v>
      </c>
      <c r="O190" s="1323">
        <v>500</v>
      </c>
      <c r="P190" s="1324">
        <v>11000</v>
      </c>
      <c r="Q190" s="1325"/>
      <c r="R190" s="523"/>
    </row>
    <row r="191" spans="1:18">
      <c r="A191" s="590">
        <f t="shared" si="87"/>
        <v>24</v>
      </c>
      <c r="B191" s="884">
        <v>8</v>
      </c>
      <c r="C191" s="1340" t="s">
        <v>727</v>
      </c>
      <c r="D191" s="1022" t="s">
        <v>657</v>
      </c>
      <c r="E191" s="1339" t="s">
        <v>1265</v>
      </c>
      <c r="F191" s="1027" t="s">
        <v>657</v>
      </c>
      <c r="G191" s="534">
        <f t="shared" si="84"/>
        <v>0</v>
      </c>
      <c r="H191" s="535">
        <f t="shared" si="85"/>
        <v>0</v>
      </c>
      <c r="I191" s="1320"/>
      <c r="J191" s="1332"/>
      <c r="K191" s="1332"/>
      <c r="L191" s="1332"/>
      <c r="M191" s="425"/>
      <c r="N191" s="535">
        <f t="shared" si="86"/>
        <v>0</v>
      </c>
      <c r="O191" s="1334"/>
      <c r="P191" s="1332"/>
      <c r="Q191" s="425"/>
      <c r="R191" s="523"/>
    </row>
    <row r="192" spans="1:18">
      <c r="A192" s="590">
        <f t="shared" si="87"/>
        <v>25</v>
      </c>
      <c r="B192" s="884">
        <v>8</v>
      </c>
      <c r="C192" s="1340" t="s">
        <v>701</v>
      </c>
      <c r="D192" s="1022" t="s">
        <v>702</v>
      </c>
      <c r="E192" s="1339" t="s">
        <v>1265</v>
      </c>
      <c r="F192" s="1027" t="s">
        <v>1022</v>
      </c>
      <c r="G192" s="534">
        <f t="shared" si="84"/>
        <v>0</v>
      </c>
      <c r="H192" s="535">
        <f t="shared" si="85"/>
        <v>0</v>
      </c>
      <c r="I192" s="1320"/>
      <c r="J192" s="1332"/>
      <c r="K192" s="1332"/>
      <c r="L192" s="1332"/>
      <c r="M192" s="425"/>
      <c r="N192" s="535">
        <f t="shared" si="86"/>
        <v>0</v>
      </c>
      <c r="O192" s="1334"/>
      <c r="P192" s="1332"/>
      <c r="Q192" s="425"/>
      <c r="R192" s="523"/>
    </row>
    <row r="193" spans="1:18">
      <c r="A193" s="590">
        <f t="shared" si="87"/>
        <v>26</v>
      </c>
      <c r="B193" s="884">
        <v>8</v>
      </c>
      <c r="C193" s="1340" t="s">
        <v>699</v>
      </c>
      <c r="D193" s="1022" t="s">
        <v>700</v>
      </c>
      <c r="E193" s="1339" t="s">
        <v>1265</v>
      </c>
      <c r="F193" s="1027" t="s">
        <v>650</v>
      </c>
      <c r="G193" s="534">
        <f t="shared" si="84"/>
        <v>3238</v>
      </c>
      <c r="H193" s="535">
        <f t="shared" si="85"/>
        <v>3238</v>
      </c>
      <c r="I193" s="1320"/>
      <c r="J193" s="1332"/>
      <c r="K193" s="1332">
        <v>3238</v>
      </c>
      <c r="L193" s="1332"/>
      <c r="M193" s="425"/>
      <c r="N193" s="535">
        <f t="shared" si="86"/>
        <v>0</v>
      </c>
      <c r="O193" s="1334"/>
      <c r="P193" s="1332"/>
      <c r="Q193" s="425"/>
      <c r="R193" s="523"/>
    </row>
    <row r="194" spans="1:18" s="536" customFormat="1">
      <c r="A194" s="590">
        <f t="shared" si="87"/>
        <v>27</v>
      </c>
      <c r="B194" s="884">
        <v>3</v>
      </c>
      <c r="C194" s="1340" t="s">
        <v>707</v>
      </c>
      <c r="D194" s="1022" t="s">
        <v>653</v>
      </c>
      <c r="E194" s="1339" t="s">
        <v>1265</v>
      </c>
      <c r="F194" s="1027" t="s">
        <v>653</v>
      </c>
      <c r="G194" s="530">
        <f t="shared" si="84"/>
        <v>27000</v>
      </c>
      <c r="H194" s="531">
        <f t="shared" si="85"/>
        <v>25000</v>
      </c>
      <c r="I194" s="1320"/>
      <c r="J194" s="1324"/>
      <c r="K194" s="1324">
        <v>25000</v>
      </c>
      <c r="L194" s="1324"/>
      <c r="M194" s="1325"/>
      <c r="N194" s="531">
        <f t="shared" si="86"/>
        <v>2000</v>
      </c>
      <c r="O194" s="1323">
        <v>2000</v>
      </c>
      <c r="P194" s="1324"/>
      <c r="Q194" s="1325"/>
      <c r="R194" s="523"/>
    </row>
    <row r="195" spans="1:18" s="536" customFormat="1">
      <c r="A195" s="590">
        <f t="shared" si="87"/>
        <v>28</v>
      </c>
      <c r="B195" s="884">
        <v>4</v>
      </c>
      <c r="C195" s="1340" t="s">
        <v>716</v>
      </c>
      <c r="D195" s="1022" t="s">
        <v>655</v>
      </c>
      <c r="E195" s="1339" t="s">
        <v>1272</v>
      </c>
      <c r="F195" s="1027" t="s">
        <v>655</v>
      </c>
      <c r="G195" s="530">
        <f t="shared" si="84"/>
        <v>10792</v>
      </c>
      <c r="H195" s="531">
        <f t="shared" si="85"/>
        <v>10792</v>
      </c>
      <c r="I195" s="1320"/>
      <c r="J195" s="1324"/>
      <c r="K195" s="1324">
        <v>10792</v>
      </c>
      <c r="L195" s="1324"/>
      <c r="M195" s="1325"/>
      <c r="N195" s="531">
        <f t="shared" si="86"/>
        <v>0</v>
      </c>
      <c r="O195" s="1323"/>
      <c r="P195" s="1324"/>
      <c r="Q195" s="1325"/>
      <c r="R195" s="523"/>
    </row>
    <row r="196" spans="1:18" s="536" customFormat="1" ht="24" customHeight="1">
      <c r="A196" s="590">
        <f t="shared" si="87"/>
        <v>29</v>
      </c>
      <c r="B196" s="884">
        <v>8</v>
      </c>
      <c r="C196" s="1337" t="s">
        <v>708</v>
      </c>
      <c r="D196" s="1028" t="s">
        <v>654</v>
      </c>
      <c r="E196" s="1339" t="s">
        <v>1265</v>
      </c>
      <c r="F196" s="1029" t="s">
        <v>654</v>
      </c>
      <c r="G196" s="530">
        <f t="shared" si="84"/>
        <v>113650</v>
      </c>
      <c r="H196" s="531">
        <f t="shared" si="85"/>
        <v>18439</v>
      </c>
      <c r="I196" s="1320"/>
      <c r="J196" s="1324"/>
      <c r="K196" s="1324">
        <v>18439</v>
      </c>
      <c r="L196" s="1324"/>
      <c r="M196" s="1325"/>
      <c r="N196" s="531">
        <f t="shared" si="86"/>
        <v>95211</v>
      </c>
      <c r="O196" s="1323">
        <v>92535</v>
      </c>
      <c r="P196" s="1324">
        <v>2676</v>
      </c>
      <c r="Q196" s="1325"/>
      <c r="R196" s="523"/>
    </row>
    <row r="197" spans="1:18" s="536" customFormat="1" ht="24">
      <c r="A197" s="590">
        <f t="shared" si="87"/>
        <v>30</v>
      </c>
      <c r="B197" s="883">
        <v>7</v>
      </c>
      <c r="C197" s="1337" t="s">
        <v>705</v>
      </c>
      <c r="D197" s="1028" t="s">
        <v>1300</v>
      </c>
      <c r="E197" s="1339" t="s">
        <v>1287</v>
      </c>
      <c r="F197" s="1029" t="s">
        <v>1291</v>
      </c>
      <c r="G197" s="530">
        <f>+H197+N197</f>
        <v>0</v>
      </c>
      <c r="H197" s="531">
        <f>+I197+J197+K197+L197+M197</f>
        <v>0</v>
      </c>
      <c r="I197" s="1320"/>
      <c r="J197" s="1324"/>
      <c r="K197" s="1324"/>
      <c r="L197" s="1324"/>
      <c r="M197" s="1325"/>
      <c r="N197" s="531">
        <f>+O197+P197+Q197</f>
        <v>0</v>
      </c>
      <c r="O197" s="1323"/>
      <c r="P197" s="1324"/>
      <c r="Q197" s="1325"/>
      <c r="R197" s="523"/>
    </row>
    <row r="198" spans="1:18" s="536" customFormat="1" ht="12" customHeight="1">
      <c r="A198" s="590">
        <f t="shared" si="87"/>
        <v>31</v>
      </c>
      <c r="B198" s="883">
        <v>7</v>
      </c>
      <c r="C198" s="1337" t="s">
        <v>705</v>
      </c>
      <c r="D198" s="1028" t="s">
        <v>1300</v>
      </c>
      <c r="E198" s="1339" t="s">
        <v>1287</v>
      </c>
      <c r="F198" s="1029" t="s">
        <v>1292</v>
      </c>
      <c r="G198" s="530">
        <f t="shared" si="84"/>
        <v>0</v>
      </c>
      <c r="H198" s="531">
        <f t="shared" si="85"/>
        <v>0</v>
      </c>
      <c r="I198" s="1320"/>
      <c r="J198" s="1324"/>
      <c r="K198" s="1324"/>
      <c r="L198" s="1324"/>
      <c r="M198" s="1325"/>
      <c r="N198" s="531">
        <f t="shared" si="86"/>
        <v>0</v>
      </c>
      <c r="O198" s="1323"/>
      <c r="P198" s="1324"/>
      <c r="Q198" s="1325"/>
      <c r="R198" s="523"/>
    </row>
    <row r="199" spans="1:18" s="536" customFormat="1" ht="12" customHeight="1">
      <c r="A199" s="590">
        <f t="shared" si="87"/>
        <v>32</v>
      </c>
      <c r="B199" s="883">
        <v>7</v>
      </c>
      <c r="C199" s="1337" t="s">
        <v>705</v>
      </c>
      <c r="D199" s="1028" t="s">
        <v>1300</v>
      </c>
      <c r="E199" s="1339" t="s">
        <v>1287</v>
      </c>
      <c r="F199" s="1029" t="s">
        <v>1293</v>
      </c>
      <c r="G199" s="530">
        <f t="shared" si="84"/>
        <v>0</v>
      </c>
      <c r="H199" s="531">
        <f t="shared" si="85"/>
        <v>0</v>
      </c>
      <c r="I199" s="1320"/>
      <c r="J199" s="1324"/>
      <c r="K199" s="1324"/>
      <c r="L199" s="1324"/>
      <c r="M199" s="1325"/>
      <c r="N199" s="531">
        <f t="shared" si="86"/>
        <v>0</v>
      </c>
      <c r="O199" s="1323"/>
      <c r="P199" s="1324"/>
      <c r="Q199" s="1325"/>
      <c r="R199" s="523"/>
    </row>
    <row r="200" spans="1:18" s="536" customFormat="1" ht="12" customHeight="1">
      <c r="A200" s="590">
        <f t="shared" si="87"/>
        <v>33</v>
      </c>
      <c r="B200" s="883">
        <v>7</v>
      </c>
      <c r="C200" s="1337" t="s">
        <v>1296</v>
      </c>
      <c r="D200" s="1028" t="s">
        <v>1294</v>
      </c>
      <c r="E200" s="1339" t="s">
        <v>1265</v>
      </c>
      <c r="F200" s="1029" t="s">
        <v>1295</v>
      </c>
      <c r="G200" s="530">
        <f t="shared" si="84"/>
        <v>0</v>
      </c>
      <c r="H200" s="531">
        <f t="shared" si="85"/>
        <v>0</v>
      </c>
      <c r="I200" s="1320"/>
      <c r="J200" s="1324"/>
      <c r="K200" s="1324"/>
      <c r="L200" s="1324"/>
      <c r="M200" s="1325"/>
      <c r="N200" s="531">
        <f t="shared" si="86"/>
        <v>0</v>
      </c>
      <c r="O200" s="1323"/>
      <c r="P200" s="1324"/>
      <c r="Q200" s="1325"/>
      <c r="R200" s="523"/>
    </row>
    <row r="201" spans="1:18" s="536" customFormat="1" ht="12" customHeight="1">
      <c r="A201" s="590">
        <f t="shared" si="87"/>
        <v>34</v>
      </c>
      <c r="B201" s="883">
        <v>7</v>
      </c>
      <c r="C201" s="1337" t="s">
        <v>1093</v>
      </c>
      <c r="D201" s="1028" t="s">
        <v>1299</v>
      </c>
      <c r="E201" s="1339" t="s">
        <v>1265</v>
      </c>
      <c r="F201" s="1029" t="s">
        <v>1298</v>
      </c>
      <c r="G201" s="530">
        <f>+H201+N201</f>
        <v>0</v>
      </c>
      <c r="H201" s="531">
        <f>+I201+J201+K201+L201+M201</f>
        <v>0</v>
      </c>
      <c r="I201" s="1320"/>
      <c r="J201" s="1324"/>
      <c r="K201" s="1324"/>
      <c r="L201" s="1324"/>
      <c r="M201" s="1325"/>
      <c r="N201" s="531">
        <f>+O201+P201+Q201</f>
        <v>0</v>
      </c>
      <c r="O201" s="1323"/>
      <c r="P201" s="1324"/>
      <c r="Q201" s="1325"/>
      <c r="R201" s="523"/>
    </row>
    <row r="202" spans="1:18" s="536" customFormat="1" ht="12" customHeight="1">
      <c r="A202" s="590">
        <f t="shared" si="87"/>
        <v>35</v>
      </c>
      <c r="B202" s="883">
        <v>7</v>
      </c>
      <c r="C202" s="1337" t="s">
        <v>1302</v>
      </c>
      <c r="D202" s="1028" t="s">
        <v>1303</v>
      </c>
      <c r="E202" s="1339" t="s">
        <v>1265</v>
      </c>
      <c r="F202" s="1029" t="s">
        <v>1304</v>
      </c>
      <c r="G202" s="530">
        <f t="shared" si="84"/>
        <v>6672</v>
      </c>
      <c r="H202" s="531">
        <f t="shared" si="85"/>
        <v>0</v>
      </c>
      <c r="I202" s="1320"/>
      <c r="J202" s="1324"/>
      <c r="K202" s="1324"/>
      <c r="L202" s="1324"/>
      <c r="M202" s="1325"/>
      <c r="N202" s="531">
        <f t="shared" si="86"/>
        <v>6672</v>
      </c>
      <c r="O202" s="1323">
        <v>6672</v>
      </c>
      <c r="P202" s="1324"/>
      <c r="Q202" s="1325"/>
      <c r="R202" s="523"/>
    </row>
    <row r="203" spans="1:18" s="536" customFormat="1" ht="12" customHeight="1">
      <c r="A203" s="590">
        <f t="shared" si="87"/>
        <v>36</v>
      </c>
      <c r="B203" s="883">
        <v>7</v>
      </c>
      <c r="C203" s="1337" t="s">
        <v>713</v>
      </c>
      <c r="D203" s="1028" t="s">
        <v>1306</v>
      </c>
      <c r="E203" s="1339" t="s">
        <v>1268</v>
      </c>
      <c r="F203" s="1029" t="s">
        <v>1305</v>
      </c>
      <c r="G203" s="530">
        <f>+H203+N203</f>
        <v>0</v>
      </c>
      <c r="H203" s="531">
        <f>+I203+J203+K203+L203+M203</f>
        <v>0</v>
      </c>
      <c r="I203" s="1320"/>
      <c r="J203" s="1324"/>
      <c r="K203" s="1324"/>
      <c r="L203" s="1324"/>
      <c r="M203" s="1325"/>
      <c r="N203" s="531">
        <f>+O203+P203+Q203</f>
        <v>0</v>
      </c>
      <c r="O203" s="1323"/>
      <c r="P203" s="1324"/>
      <c r="Q203" s="1325"/>
      <c r="R203" s="523"/>
    </row>
    <row r="204" spans="1:18" s="536" customFormat="1">
      <c r="A204" s="590">
        <f t="shared" si="87"/>
        <v>37</v>
      </c>
      <c r="B204" s="883">
        <v>7</v>
      </c>
      <c r="C204" s="1340" t="s">
        <v>1307</v>
      </c>
      <c r="D204" s="1022" t="s">
        <v>1309</v>
      </c>
      <c r="E204" s="1339" t="s">
        <v>1265</v>
      </c>
      <c r="F204" s="1027" t="s">
        <v>1308</v>
      </c>
      <c r="G204" s="530">
        <f t="shared" si="84"/>
        <v>0</v>
      </c>
      <c r="H204" s="531">
        <f t="shared" si="85"/>
        <v>0</v>
      </c>
      <c r="I204" s="1320"/>
      <c r="J204" s="1324"/>
      <c r="K204" s="1324"/>
      <c r="L204" s="1324"/>
      <c r="M204" s="1325"/>
      <c r="N204" s="531">
        <f t="shared" si="86"/>
        <v>0</v>
      </c>
      <c r="O204" s="1323"/>
      <c r="P204" s="1324"/>
      <c r="Q204" s="1325"/>
      <c r="R204" s="523"/>
    </row>
    <row r="205" spans="1:18" s="536" customFormat="1">
      <c r="A205" s="590">
        <f t="shared" si="87"/>
        <v>38</v>
      </c>
      <c r="B205" s="883">
        <v>7</v>
      </c>
      <c r="C205" s="1340" t="s">
        <v>713</v>
      </c>
      <c r="D205" s="1022" t="s">
        <v>1311</v>
      </c>
      <c r="E205" s="1339" t="s">
        <v>1268</v>
      </c>
      <c r="F205" s="1027" t="s">
        <v>1310</v>
      </c>
      <c r="G205" s="530">
        <f>+H205+N205</f>
        <v>0</v>
      </c>
      <c r="H205" s="531">
        <f>+I205+J205+K205+L205+M205</f>
        <v>0</v>
      </c>
      <c r="I205" s="1320"/>
      <c r="J205" s="1324"/>
      <c r="K205" s="1324"/>
      <c r="L205" s="1324"/>
      <c r="M205" s="1325"/>
      <c r="N205" s="531">
        <f>+O205+P205+Q205</f>
        <v>0</v>
      </c>
      <c r="O205" s="1323"/>
      <c r="P205" s="1324"/>
      <c r="Q205" s="1325"/>
      <c r="R205" s="523"/>
    </row>
    <row r="206" spans="1:18" s="536" customFormat="1">
      <c r="A206" s="590">
        <f t="shared" si="87"/>
        <v>39</v>
      </c>
      <c r="B206" s="883">
        <v>7</v>
      </c>
      <c r="C206" s="1340" t="s">
        <v>1038</v>
      </c>
      <c r="D206" s="1022" t="s">
        <v>1312</v>
      </c>
      <c r="E206" s="1339" t="s">
        <v>1285</v>
      </c>
      <c r="F206" s="1027" t="s">
        <v>1313</v>
      </c>
      <c r="G206" s="530">
        <f t="shared" si="84"/>
        <v>0</v>
      </c>
      <c r="H206" s="531">
        <f t="shared" si="85"/>
        <v>0</v>
      </c>
      <c r="I206" s="1320"/>
      <c r="J206" s="1324"/>
      <c r="K206" s="1324"/>
      <c r="L206" s="1324"/>
      <c r="M206" s="1325"/>
      <c r="N206" s="531">
        <f t="shared" si="86"/>
        <v>0</v>
      </c>
      <c r="O206" s="1323"/>
      <c r="P206" s="1324"/>
      <c r="Q206" s="1325"/>
      <c r="R206" s="523"/>
    </row>
    <row r="207" spans="1:18" s="536" customFormat="1">
      <c r="A207" s="590">
        <f t="shared" si="87"/>
        <v>40</v>
      </c>
      <c r="B207" s="883">
        <v>7</v>
      </c>
      <c r="C207" s="1340" t="s">
        <v>708</v>
      </c>
      <c r="D207" s="1022" t="s">
        <v>1198</v>
      </c>
      <c r="E207" s="1343" t="s">
        <v>1265</v>
      </c>
      <c r="F207" s="1027" t="s">
        <v>1199</v>
      </c>
      <c r="G207" s="530">
        <f>+H207+N207</f>
        <v>0</v>
      </c>
      <c r="H207" s="531">
        <f>+I207+J207+K207+L207+M207</f>
        <v>0</v>
      </c>
      <c r="I207" s="1320"/>
      <c r="J207" s="1324"/>
      <c r="K207" s="1324"/>
      <c r="L207" s="1324"/>
      <c r="M207" s="1325"/>
      <c r="N207" s="531">
        <f>+O207+P207+Q207</f>
        <v>0</v>
      </c>
      <c r="O207" s="1323"/>
      <c r="P207" s="1324"/>
      <c r="Q207" s="1325"/>
      <c r="R207" s="523"/>
    </row>
    <row r="208" spans="1:18" s="536" customFormat="1">
      <c r="A208" s="590">
        <f t="shared" si="87"/>
        <v>41</v>
      </c>
      <c r="B208" s="883">
        <v>8</v>
      </c>
      <c r="C208" s="1340" t="s">
        <v>1023</v>
      </c>
      <c r="D208" s="1022" t="s">
        <v>1024</v>
      </c>
      <c r="E208" s="1339" t="s">
        <v>1265</v>
      </c>
      <c r="F208" s="1027" t="s">
        <v>1025</v>
      </c>
      <c r="G208" s="530">
        <f t="shared" si="84"/>
        <v>10000</v>
      </c>
      <c r="H208" s="531">
        <f t="shared" si="85"/>
        <v>10000</v>
      </c>
      <c r="I208" s="1320"/>
      <c r="J208" s="1324"/>
      <c r="K208" s="1324"/>
      <c r="L208" s="1324"/>
      <c r="M208" s="1325">
        <v>10000</v>
      </c>
      <c r="N208" s="531">
        <f t="shared" si="86"/>
        <v>0</v>
      </c>
      <c r="O208" s="1323"/>
      <c r="P208" s="1324"/>
      <c r="Q208" s="1325"/>
      <c r="R208" s="523"/>
    </row>
    <row r="209" spans="1:18" s="536" customFormat="1">
      <c r="A209" s="590">
        <f t="shared" si="87"/>
        <v>42</v>
      </c>
      <c r="B209" s="883">
        <v>8</v>
      </c>
      <c r="C209" s="1340" t="s">
        <v>1026</v>
      </c>
      <c r="D209" s="1022" t="s">
        <v>1027</v>
      </c>
      <c r="E209" s="1339" t="s">
        <v>1265</v>
      </c>
      <c r="F209" s="1027" t="s">
        <v>1027</v>
      </c>
      <c r="G209" s="530">
        <f>+H209+N209</f>
        <v>8703</v>
      </c>
      <c r="H209" s="531">
        <f>+I209+J209+K209+L209+M209</f>
        <v>8703</v>
      </c>
      <c r="I209" s="1320"/>
      <c r="J209" s="1324"/>
      <c r="K209" s="1324"/>
      <c r="L209" s="1324"/>
      <c r="M209" s="1325">
        <v>8703</v>
      </c>
      <c r="N209" s="531">
        <f>+O209+P209+Q209</f>
        <v>0</v>
      </c>
      <c r="O209" s="1323"/>
      <c r="P209" s="1324"/>
      <c r="Q209" s="1325"/>
      <c r="R209" s="523"/>
    </row>
    <row r="210" spans="1:18" s="536" customFormat="1">
      <c r="A210" s="590">
        <f t="shared" si="87"/>
        <v>43</v>
      </c>
      <c r="B210" s="883">
        <v>8</v>
      </c>
      <c r="C210" s="1340" t="s">
        <v>711</v>
      </c>
      <c r="D210" s="1022" t="s">
        <v>712</v>
      </c>
      <c r="E210" s="1339" t="s">
        <v>1271</v>
      </c>
      <c r="F210" s="1027" t="s">
        <v>712</v>
      </c>
      <c r="G210" s="530">
        <f t="shared" ref="G210:G218" si="88">+H210+N210</f>
        <v>8900</v>
      </c>
      <c r="H210" s="531">
        <f t="shared" ref="H210:H218" si="89">+I210+J210+K210+L210+M210</f>
        <v>8900</v>
      </c>
      <c r="I210" s="1320"/>
      <c r="J210" s="1324"/>
      <c r="K210" s="1324">
        <v>8900</v>
      </c>
      <c r="L210" s="1324"/>
      <c r="M210" s="1325"/>
      <c r="N210" s="531">
        <f t="shared" ref="N210:N218" si="90">+O210+P210+Q210</f>
        <v>0</v>
      </c>
      <c r="O210" s="1323"/>
      <c r="P210" s="1324"/>
      <c r="Q210" s="1325"/>
      <c r="R210" s="523"/>
    </row>
    <row r="211" spans="1:18" s="536" customFormat="1">
      <c r="A211" s="590">
        <f t="shared" si="87"/>
        <v>44</v>
      </c>
      <c r="B211" s="883">
        <v>8</v>
      </c>
      <c r="C211" s="1340" t="s">
        <v>1030</v>
      </c>
      <c r="D211" s="1022" t="s">
        <v>1028</v>
      </c>
      <c r="E211" s="1339" t="s">
        <v>1273</v>
      </c>
      <c r="F211" s="1027" t="s">
        <v>1028</v>
      </c>
      <c r="G211" s="530">
        <f t="shared" si="88"/>
        <v>0</v>
      </c>
      <c r="H211" s="531">
        <f t="shared" si="89"/>
        <v>0</v>
      </c>
      <c r="I211" s="1320"/>
      <c r="J211" s="1324"/>
      <c r="K211" s="1324"/>
      <c r="L211" s="1324"/>
      <c r="M211" s="1325"/>
      <c r="N211" s="531">
        <f t="shared" si="90"/>
        <v>0</v>
      </c>
      <c r="O211" s="1323"/>
      <c r="P211" s="1324"/>
      <c r="Q211" s="1325"/>
      <c r="R211" s="523"/>
    </row>
    <row r="212" spans="1:18" s="536" customFormat="1">
      <c r="A212" s="590">
        <f t="shared" si="87"/>
        <v>45</v>
      </c>
      <c r="B212" s="883">
        <v>8</v>
      </c>
      <c r="C212" s="1340" t="s">
        <v>1031</v>
      </c>
      <c r="D212" s="1022" t="s">
        <v>1029</v>
      </c>
      <c r="E212" s="1339" t="s">
        <v>1265</v>
      </c>
      <c r="F212" s="1027" t="s">
        <v>1032</v>
      </c>
      <c r="G212" s="530">
        <f t="shared" si="88"/>
        <v>0</v>
      </c>
      <c r="H212" s="531">
        <f t="shared" si="89"/>
        <v>0</v>
      </c>
      <c r="I212" s="1320"/>
      <c r="J212" s="1324"/>
      <c r="K212" s="1324"/>
      <c r="L212" s="1324"/>
      <c r="M212" s="1325"/>
      <c r="N212" s="531">
        <f t="shared" si="90"/>
        <v>0</v>
      </c>
      <c r="O212" s="1323"/>
      <c r="P212" s="1324"/>
      <c r="Q212" s="1325"/>
      <c r="R212" s="523"/>
    </row>
    <row r="213" spans="1:18" s="536" customFormat="1">
      <c r="A213" s="590">
        <f t="shared" si="87"/>
        <v>46</v>
      </c>
      <c r="B213" s="884">
        <v>8</v>
      </c>
      <c r="C213" s="1341" t="s">
        <v>1033</v>
      </c>
      <c r="D213" s="1030" t="s">
        <v>1034</v>
      </c>
      <c r="E213" s="1342" t="s">
        <v>1265</v>
      </c>
      <c r="F213" s="1032" t="s">
        <v>1034</v>
      </c>
      <c r="G213" s="530">
        <f t="shared" si="88"/>
        <v>0</v>
      </c>
      <c r="H213" s="531">
        <f t="shared" si="89"/>
        <v>0</v>
      </c>
      <c r="I213" s="1320"/>
      <c r="J213" s="1324"/>
      <c r="K213" s="1324"/>
      <c r="L213" s="1324"/>
      <c r="M213" s="1325"/>
      <c r="N213" s="531">
        <f t="shared" si="90"/>
        <v>0</v>
      </c>
      <c r="O213" s="1323"/>
      <c r="P213" s="1324"/>
      <c r="Q213" s="1325"/>
      <c r="R213" s="523"/>
    </row>
    <row r="214" spans="1:18" s="536" customFormat="1">
      <c r="A214" s="590">
        <f t="shared" si="87"/>
        <v>47</v>
      </c>
      <c r="B214" s="884">
        <v>8</v>
      </c>
      <c r="C214" s="1341" t="s">
        <v>739</v>
      </c>
      <c r="D214" s="1030" t="s">
        <v>737</v>
      </c>
      <c r="E214" s="1342" t="s">
        <v>1274</v>
      </c>
      <c r="F214" s="1032" t="s">
        <v>666</v>
      </c>
      <c r="G214" s="530">
        <f t="shared" si="88"/>
        <v>15531</v>
      </c>
      <c r="H214" s="531">
        <f t="shared" si="89"/>
        <v>15531</v>
      </c>
      <c r="I214" s="1320"/>
      <c r="J214" s="1324"/>
      <c r="K214" s="1324">
        <v>531</v>
      </c>
      <c r="L214" s="1324"/>
      <c r="M214" s="1325">
        <v>15000</v>
      </c>
      <c r="N214" s="531">
        <f t="shared" si="90"/>
        <v>0</v>
      </c>
      <c r="O214" s="1323"/>
      <c r="P214" s="1324"/>
      <c r="Q214" s="1325"/>
      <c r="R214" s="523"/>
    </row>
    <row r="215" spans="1:18" s="536" customFormat="1">
      <c r="A215" s="590">
        <f t="shared" si="87"/>
        <v>48</v>
      </c>
      <c r="B215" s="884">
        <v>8</v>
      </c>
      <c r="C215" s="1341" t="s">
        <v>740</v>
      </c>
      <c r="D215" s="1030" t="s">
        <v>738</v>
      </c>
      <c r="E215" s="1342" t="s">
        <v>1265</v>
      </c>
      <c r="F215" s="1032" t="s">
        <v>662</v>
      </c>
      <c r="G215" s="530">
        <f t="shared" si="88"/>
        <v>16000</v>
      </c>
      <c r="H215" s="531">
        <f t="shared" si="89"/>
        <v>16000</v>
      </c>
      <c r="I215" s="1320"/>
      <c r="J215" s="1324"/>
      <c r="K215" s="1324"/>
      <c r="L215" s="1324"/>
      <c r="M215" s="1325">
        <v>16000</v>
      </c>
      <c r="N215" s="531">
        <f t="shared" si="90"/>
        <v>0</v>
      </c>
      <c r="O215" s="1323"/>
      <c r="P215" s="1324"/>
      <c r="Q215" s="1325"/>
      <c r="R215" s="523"/>
    </row>
    <row r="216" spans="1:18" s="536" customFormat="1">
      <c r="A216" s="590">
        <f t="shared" si="87"/>
        <v>49</v>
      </c>
      <c r="B216" s="884">
        <v>8</v>
      </c>
      <c r="C216" s="1341" t="s">
        <v>1035</v>
      </c>
      <c r="D216" s="1030" t="s">
        <v>1036</v>
      </c>
      <c r="E216" s="1342" t="s">
        <v>1265</v>
      </c>
      <c r="F216" s="1032" t="s">
        <v>1036</v>
      </c>
      <c r="G216" s="530">
        <f t="shared" si="88"/>
        <v>0</v>
      </c>
      <c r="H216" s="531">
        <f t="shared" si="89"/>
        <v>0</v>
      </c>
      <c r="I216" s="1320"/>
      <c r="J216" s="1324"/>
      <c r="K216" s="1324"/>
      <c r="L216" s="1324"/>
      <c r="M216" s="1325"/>
      <c r="N216" s="531">
        <f t="shared" si="90"/>
        <v>0</v>
      </c>
      <c r="O216" s="1323"/>
      <c r="P216" s="1324"/>
      <c r="Q216" s="1325"/>
      <c r="R216" s="523"/>
    </row>
    <row r="217" spans="1:18" s="536" customFormat="1">
      <c r="A217" s="590">
        <f t="shared" si="87"/>
        <v>50</v>
      </c>
      <c r="B217" s="884">
        <v>6</v>
      </c>
      <c r="C217" s="1341" t="s">
        <v>688</v>
      </c>
      <c r="D217" s="1030" t="s">
        <v>687</v>
      </c>
      <c r="E217" s="1342" t="s">
        <v>1265</v>
      </c>
      <c r="F217" s="1032" t="s">
        <v>1046</v>
      </c>
      <c r="G217" s="530">
        <f t="shared" si="88"/>
        <v>2400</v>
      </c>
      <c r="H217" s="531">
        <f t="shared" si="89"/>
        <v>2400</v>
      </c>
      <c r="I217" s="1320"/>
      <c r="J217" s="1324"/>
      <c r="K217" s="1324"/>
      <c r="L217" s="1324">
        <v>2400</v>
      </c>
      <c r="M217" s="1325"/>
      <c r="N217" s="531">
        <f t="shared" si="90"/>
        <v>0</v>
      </c>
      <c r="O217" s="1323"/>
      <c r="P217" s="1324"/>
      <c r="Q217" s="1325"/>
      <c r="R217" s="523"/>
    </row>
    <row r="218" spans="1:18" s="536" customFormat="1">
      <c r="A218" s="590">
        <f t="shared" si="87"/>
        <v>51</v>
      </c>
      <c r="B218" s="884">
        <v>6</v>
      </c>
      <c r="C218" s="1341" t="s">
        <v>694</v>
      </c>
      <c r="D218" s="1030" t="s">
        <v>693</v>
      </c>
      <c r="E218" s="1342" t="s">
        <v>1265</v>
      </c>
      <c r="F218" s="1032" t="s">
        <v>1048</v>
      </c>
      <c r="G218" s="530">
        <f t="shared" si="88"/>
        <v>600</v>
      </c>
      <c r="H218" s="531">
        <f t="shared" si="89"/>
        <v>600</v>
      </c>
      <c r="I218" s="1320"/>
      <c r="J218" s="1324"/>
      <c r="K218" s="1324"/>
      <c r="L218" s="1324">
        <v>600</v>
      </c>
      <c r="M218" s="1325"/>
      <c r="N218" s="531">
        <f t="shared" si="90"/>
        <v>0</v>
      </c>
      <c r="O218" s="1323"/>
      <c r="P218" s="1324"/>
      <c r="Q218" s="1325"/>
      <c r="R218" s="523"/>
    </row>
    <row r="219" spans="1:18" s="536" customFormat="1">
      <c r="A219" s="590">
        <f t="shared" si="87"/>
        <v>52</v>
      </c>
      <c r="B219" s="884">
        <v>6</v>
      </c>
      <c r="C219" s="1341" t="s">
        <v>1045</v>
      </c>
      <c r="D219" s="1030" t="s">
        <v>1044</v>
      </c>
      <c r="E219" s="1342" t="s">
        <v>1275</v>
      </c>
      <c r="F219" s="1032" t="s">
        <v>1044</v>
      </c>
      <c r="G219" s="530">
        <f>+H219+N219</f>
        <v>0</v>
      </c>
      <c r="H219" s="531">
        <f>+I219+J219+K219+L219+M219</f>
        <v>0</v>
      </c>
      <c r="I219" s="1320"/>
      <c r="J219" s="1324"/>
      <c r="K219" s="1324"/>
      <c r="L219" s="1324"/>
      <c r="M219" s="1325"/>
      <c r="N219" s="531">
        <f>+O219+P219+Q219</f>
        <v>0</v>
      </c>
      <c r="O219" s="1323"/>
      <c r="P219" s="1324"/>
      <c r="Q219" s="1325"/>
      <c r="R219" s="523"/>
    </row>
    <row r="220" spans="1:18" s="536" customFormat="1">
      <c r="A220" s="590">
        <f t="shared" si="87"/>
        <v>53</v>
      </c>
      <c r="B220" s="884">
        <v>6</v>
      </c>
      <c r="C220" s="1341" t="s">
        <v>690</v>
      </c>
      <c r="D220" s="1030" t="s">
        <v>689</v>
      </c>
      <c r="E220" s="1342" t="s">
        <v>1265</v>
      </c>
      <c r="F220" s="1032" t="s">
        <v>646</v>
      </c>
      <c r="G220" s="530">
        <f t="shared" si="84"/>
        <v>0</v>
      </c>
      <c r="H220" s="531">
        <f t="shared" si="85"/>
        <v>0</v>
      </c>
      <c r="I220" s="1320"/>
      <c r="J220" s="1324"/>
      <c r="K220" s="1324"/>
      <c r="L220" s="1324"/>
      <c r="M220" s="1325"/>
      <c r="N220" s="531">
        <f t="shared" si="86"/>
        <v>0</v>
      </c>
      <c r="O220" s="1323"/>
      <c r="P220" s="1324"/>
      <c r="Q220" s="1325"/>
      <c r="R220" s="523"/>
    </row>
    <row r="221" spans="1:18" s="536" customFormat="1">
      <c r="A221" s="590">
        <f t="shared" si="87"/>
        <v>54</v>
      </c>
      <c r="B221" s="884">
        <v>6</v>
      </c>
      <c r="C221" s="1341" t="s">
        <v>690</v>
      </c>
      <c r="D221" s="1030" t="s">
        <v>689</v>
      </c>
      <c r="E221" s="1342" t="s">
        <v>1265</v>
      </c>
      <c r="F221" s="1032" t="s">
        <v>647</v>
      </c>
      <c r="G221" s="530">
        <f t="shared" si="84"/>
        <v>0</v>
      </c>
      <c r="H221" s="531">
        <f t="shared" si="85"/>
        <v>0</v>
      </c>
      <c r="I221" s="1320"/>
      <c r="J221" s="1324"/>
      <c r="K221" s="1324"/>
      <c r="L221" s="1324"/>
      <c r="M221" s="1325"/>
      <c r="N221" s="531">
        <f t="shared" si="86"/>
        <v>0</v>
      </c>
      <c r="O221" s="1323"/>
      <c r="P221" s="1324"/>
      <c r="Q221" s="1325"/>
      <c r="R221" s="523"/>
    </row>
    <row r="222" spans="1:18" s="536" customFormat="1">
      <c r="A222" s="590">
        <f t="shared" si="87"/>
        <v>55</v>
      </c>
      <c r="B222" s="885">
        <v>6</v>
      </c>
      <c r="C222" s="1341" t="s">
        <v>690</v>
      </c>
      <c r="D222" s="1030" t="s">
        <v>689</v>
      </c>
      <c r="E222" s="1342" t="s">
        <v>1265</v>
      </c>
      <c r="F222" s="1032" t="s">
        <v>648</v>
      </c>
      <c r="G222" s="530">
        <f t="shared" si="84"/>
        <v>6105</v>
      </c>
      <c r="H222" s="531">
        <f t="shared" si="85"/>
        <v>6105</v>
      </c>
      <c r="I222" s="1320"/>
      <c r="J222" s="1324"/>
      <c r="K222" s="1324"/>
      <c r="L222" s="1324">
        <v>6105</v>
      </c>
      <c r="M222" s="1325"/>
      <c r="N222" s="531">
        <f t="shared" si="86"/>
        <v>0</v>
      </c>
      <c r="O222" s="1323"/>
      <c r="P222" s="1324"/>
      <c r="Q222" s="1325"/>
      <c r="R222" s="523"/>
    </row>
    <row r="223" spans="1:18" s="536" customFormat="1">
      <c r="A223" s="590">
        <f t="shared" si="87"/>
        <v>56</v>
      </c>
      <c r="B223" s="885">
        <v>7</v>
      </c>
      <c r="C223" s="1341" t="s">
        <v>1302</v>
      </c>
      <c r="D223" s="1030" t="s">
        <v>1315</v>
      </c>
      <c r="E223" s="1342" t="s">
        <v>1265</v>
      </c>
      <c r="F223" s="1032" t="s">
        <v>1314</v>
      </c>
      <c r="G223" s="530">
        <f t="shared" si="84"/>
        <v>0</v>
      </c>
      <c r="H223" s="531">
        <f t="shared" si="85"/>
        <v>0</v>
      </c>
      <c r="I223" s="1320"/>
      <c r="J223" s="1324"/>
      <c r="K223" s="1324"/>
      <c r="L223" s="1324"/>
      <c r="M223" s="1325"/>
      <c r="N223" s="531">
        <f t="shared" si="86"/>
        <v>0</v>
      </c>
      <c r="O223" s="1323"/>
      <c r="P223" s="1324"/>
      <c r="Q223" s="1325"/>
      <c r="R223" s="523"/>
    </row>
    <row r="224" spans="1:18" s="536" customFormat="1">
      <c r="A224" s="590">
        <f t="shared" si="87"/>
        <v>57</v>
      </c>
      <c r="B224" s="885">
        <v>8</v>
      </c>
      <c r="C224" s="1341" t="s">
        <v>1052</v>
      </c>
      <c r="D224" s="1030" t="s">
        <v>1054</v>
      </c>
      <c r="E224" s="1342" t="s">
        <v>1265</v>
      </c>
      <c r="F224" s="1032" t="s">
        <v>1053</v>
      </c>
      <c r="G224" s="530">
        <f t="shared" si="84"/>
        <v>2000</v>
      </c>
      <c r="H224" s="531">
        <f t="shared" si="85"/>
        <v>2000</v>
      </c>
      <c r="I224" s="1320"/>
      <c r="J224" s="1324"/>
      <c r="K224" s="1324">
        <v>2000</v>
      </c>
      <c r="L224" s="1324"/>
      <c r="M224" s="1325"/>
      <c r="N224" s="531">
        <f t="shared" si="86"/>
        <v>0</v>
      </c>
      <c r="O224" s="1323"/>
      <c r="P224" s="1324"/>
      <c r="Q224" s="1325"/>
      <c r="R224" s="523"/>
    </row>
    <row r="225" spans="1:18" s="536" customFormat="1">
      <c r="A225" s="590">
        <f t="shared" si="87"/>
        <v>58</v>
      </c>
      <c r="B225" s="885">
        <v>6</v>
      </c>
      <c r="C225" s="1341" t="s">
        <v>1072</v>
      </c>
      <c r="D225" s="1030" t="s">
        <v>1074</v>
      </c>
      <c r="E225" s="1342" t="s">
        <v>1276</v>
      </c>
      <c r="F225" s="1032" t="s">
        <v>1074</v>
      </c>
      <c r="G225" s="530">
        <f t="shared" si="84"/>
        <v>0</v>
      </c>
      <c r="H225" s="531">
        <f t="shared" si="85"/>
        <v>0</v>
      </c>
      <c r="I225" s="1320"/>
      <c r="J225" s="1324"/>
      <c r="K225" s="1324"/>
      <c r="L225" s="1324"/>
      <c r="M225" s="1325"/>
      <c r="N225" s="531">
        <f t="shared" si="86"/>
        <v>0</v>
      </c>
      <c r="O225" s="1323"/>
      <c r="P225" s="1324"/>
      <c r="Q225" s="1325"/>
      <c r="R225" s="523"/>
    </row>
    <row r="226" spans="1:18" s="536" customFormat="1">
      <c r="A226" s="590">
        <f t="shared" si="87"/>
        <v>59</v>
      </c>
      <c r="B226" s="885">
        <v>6</v>
      </c>
      <c r="C226" s="1341" t="s">
        <v>685</v>
      </c>
      <c r="D226" s="1030" t="s">
        <v>686</v>
      </c>
      <c r="E226" s="1342" t="s">
        <v>1265</v>
      </c>
      <c r="F226" s="1032" t="s">
        <v>1047</v>
      </c>
      <c r="G226" s="530">
        <f t="shared" si="84"/>
        <v>19800</v>
      </c>
      <c r="H226" s="531">
        <f t="shared" si="85"/>
        <v>19800</v>
      </c>
      <c r="I226" s="1320"/>
      <c r="J226" s="1324"/>
      <c r="K226" s="1324"/>
      <c r="L226" s="1324">
        <v>19800</v>
      </c>
      <c r="M226" s="1325"/>
      <c r="N226" s="531">
        <f t="shared" si="86"/>
        <v>0</v>
      </c>
      <c r="O226" s="1323"/>
      <c r="P226" s="1324"/>
      <c r="Q226" s="1325"/>
      <c r="R226" s="523"/>
    </row>
    <row r="227" spans="1:18" s="536" customFormat="1">
      <c r="A227" s="590">
        <f t="shared" si="87"/>
        <v>60</v>
      </c>
      <c r="B227" s="885">
        <v>6</v>
      </c>
      <c r="C227" s="1341" t="s">
        <v>691</v>
      </c>
      <c r="D227" s="1030" t="s">
        <v>692</v>
      </c>
      <c r="E227" s="1342" t="s">
        <v>1265</v>
      </c>
      <c r="F227" s="1032" t="s">
        <v>1049</v>
      </c>
      <c r="G227" s="530">
        <f t="shared" si="84"/>
        <v>22600</v>
      </c>
      <c r="H227" s="531">
        <f t="shared" si="85"/>
        <v>22600</v>
      </c>
      <c r="I227" s="1320"/>
      <c r="J227" s="1324"/>
      <c r="K227" s="1324"/>
      <c r="L227" s="1324">
        <v>22600</v>
      </c>
      <c r="M227" s="1325"/>
      <c r="N227" s="531">
        <f t="shared" si="86"/>
        <v>0</v>
      </c>
      <c r="O227" s="1323"/>
      <c r="P227" s="1324"/>
      <c r="Q227" s="1325"/>
      <c r="R227" s="523"/>
    </row>
    <row r="228" spans="1:18" s="536" customFormat="1">
      <c r="A228" s="590">
        <f t="shared" si="87"/>
        <v>61</v>
      </c>
      <c r="B228" s="885">
        <v>6</v>
      </c>
      <c r="C228" s="1341" t="s">
        <v>691</v>
      </c>
      <c r="D228" s="1030" t="s">
        <v>698</v>
      </c>
      <c r="E228" s="1342" t="s">
        <v>1265</v>
      </c>
      <c r="F228" s="1032" t="s">
        <v>649</v>
      </c>
      <c r="G228" s="530">
        <f t="shared" ref="G228" si="91">+H228+N228</f>
        <v>1000</v>
      </c>
      <c r="H228" s="531">
        <f t="shared" ref="H228" si="92">+I228+J228+K228+L228+M228</f>
        <v>1000</v>
      </c>
      <c r="I228" s="1320"/>
      <c r="J228" s="1324"/>
      <c r="K228" s="1324"/>
      <c r="L228" s="1324">
        <v>1000</v>
      </c>
      <c r="M228" s="1325"/>
      <c r="N228" s="531">
        <f t="shared" ref="N228" si="93">+O228+P228+Q228</f>
        <v>0</v>
      </c>
      <c r="O228" s="1323"/>
      <c r="P228" s="1324"/>
      <c r="Q228" s="1325"/>
      <c r="R228" s="523"/>
    </row>
    <row r="229" spans="1:18" s="536" customFormat="1">
      <c r="A229" s="590">
        <f t="shared" si="87"/>
        <v>62</v>
      </c>
      <c r="B229" s="885">
        <v>7</v>
      </c>
      <c r="C229" s="1341" t="s">
        <v>713</v>
      </c>
      <c r="D229" s="1030" t="s">
        <v>1351</v>
      </c>
      <c r="E229" s="1342" t="s">
        <v>1268</v>
      </c>
      <c r="F229" s="1032" t="s">
        <v>1352</v>
      </c>
      <c r="G229" s="530">
        <f t="shared" si="84"/>
        <v>0</v>
      </c>
      <c r="H229" s="531">
        <f t="shared" si="85"/>
        <v>0</v>
      </c>
      <c r="I229" s="1320"/>
      <c r="J229" s="1324"/>
      <c r="K229" s="1324"/>
      <c r="L229" s="1324"/>
      <c r="M229" s="1325"/>
      <c r="N229" s="531">
        <f t="shared" si="86"/>
        <v>0</v>
      </c>
      <c r="O229" s="1323"/>
      <c r="P229" s="1324"/>
      <c r="Q229" s="1325"/>
      <c r="R229" s="523"/>
    </row>
    <row r="230" spans="1:18" s="536" customFormat="1">
      <c r="A230" s="590">
        <f t="shared" si="87"/>
        <v>63</v>
      </c>
      <c r="B230" s="885">
        <v>7</v>
      </c>
      <c r="C230" s="1341" t="s">
        <v>1296</v>
      </c>
      <c r="D230" s="1030" t="s">
        <v>1294</v>
      </c>
      <c r="E230" s="1342" t="s">
        <v>1265</v>
      </c>
      <c r="F230" s="1032" t="s">
        <v>1353</v>
      </c>
      <c r="G230" s="530">
        <f t="shared" ref="G230" si="94">+H230+N230</f>
        <v>0</v>
      </c>
      <c r="H230" s="531">
        <f t="shared" ref="H230" si="95">+I230+J230+K230+L230+M230</f>
        <v>0</v>
      </c>
      <c r="I230" s="1320"/>
      <c r="J230" s="1324"/>
      <c r="K230" s="1324"/>
      <c r="L230" s="1324"/>
      <c r="M230" s="1325"/>
      <c r="N230" s="531">
        <f t="shared" ref="N230" si="96">+O230+P230+Q230</f>
        <v>0</v>
      </c>
      <c r="O230" s="1323"/>
      <c r="P230" s="1324"/>
      <c r="Q230" s="1325"/>
      <c r="R230" s="523"/>
    </row>
    <row r="231" spans="1:18" s="536" customFormat="1">
      <c r="A231" s="590">
        <f t="shared" si="87"/>
        <v>64</v>
      </c>
      <c r="B231" s="885">
        <v>7</v>
      </c>
      <c r="C231" s="1341" t="s">
        <v>1302</v>
      </c>
      <c r="D231" s="1030" t="s">
        <v>1355</v>
      </c>
      <c r="E231" s="1342" t="s">
        <v>1265</v>
      </c>
      <c r="F231" s="1032" t="s">
        <v>1354</v>
      </c>
      <c r="G231" s="530">
        <f t="shared" si="84"/>
        <v>0</v>
      </c>
      <c r="H231" s="531">
        <f t="shared" si="85"/>
        <v>0</v>
      </c>
      <c r="I231" s="1320"/>
      <c r="J231" s="1324"/>
      <c r="K231" s="1324"/>
      <c r="L231" s="1324"/>
      <c r="M231" s="1325"/>
      <c r="N231" s="531">
        <f t="shared" si="86"/>
        <v>0</v>
      </c>
      <c r="O231" s="1323"/>
      <c r="P231" s="1324"/>
      <c r="Q231" s="1325"/>
      <c r="R231" s="523"/>
    </row>
    <row r="232" spans="1:18" s="536" customFormat="1">
      <c r="A232" s="590">
        <f t="shared" si="87"/>
        <v>65</v>
      </c>
      <c r="B232" s="885">
        <v>7</v>
      </c>
      <c r="C232" s="1341" t="s">
        <v>1356</v>
      </c>
      <c r="D232" s="1030" t="s">
        <v>1357</v>
      </c>
      <c r="E232" s="1342" t="s">
        <v>1265</v>
      </c>
      <c r="F232" s="1032" t="s">
        <v>1358</v>
      </c>
      <c r="G232" s="530">
        <f t="shared" ref="G232" si="97">+H232+N232</f>
        <v>0</v>
      </c>
      <c r="H232" s="531">
        <f t="shared" ref="H232" si="98">+I232+J232+K232+L232+M232</f>
        <v>0</v>
      </c>
      <c r="I232" s="1320"/>
      <c r="J232" s="1324"/>
      <c r="K232" s="1324"/>
      <c r="L232" s="1324"/>
      <c r="M232" s="1325"/>
      <c r="N232" s="531">
        <f t="shared" ref="N232" si="99">+O232+P232+Q232</f>
        <v>0</v>
      </c>
      <c r="O232" s="1323"/>
      <c r="P232" s="1324"/>
      <c r="Q232" s="1325"/>
      <c r="R232" s="523"/>
    </row>
    <row r="233" spans="1:18" s="536" customFormat="1">
      <c r="A233" s="590">
        <f t="shared" si="87"/>
        <v>66</v>
      </c>
      <c r="B233" s="885">
        <v>7</v>
      </c>
      <c r="C233" s="1341" t="s">
        <v>1359</v>
      </c>
      <c r="D233" s="1030" t="s">
        <v>1360</v>
      </c>
      <c r="E233" s="1342" t="s">
        <v>1265</v>
      </c>
      <c r="F233" s="1032" t="s">
        <v>1365</v>
      </c>
      <c r="G233" s="530">
        <f t="shared" si="84"/>
        <v>0</v>
      </c>
      <c r="H233" s="531">
        <f t="shared" si="85"/>
        <v>0</v>
      </c>
      <c r="I233" s="1320"/>
      <c r="J233" s="1324"/>
      <c r="K233" s="1324"/>
      <c r="L233" s="1324"/>
      <c r="M233" s="1325"/>
      <c r="N233" s="531">
        <f t="shared" si="86"/>
        <v>0</v>
      </c>
      <c r="O233" s="1323"/>
      <c r="P233" s="1324"/>
      <c r="Q233" s="1325"/>
      <c r="R233" s="523"/>
    </row>
    <row r="234" spans="1:18" s="536" customFormat="1">
      <c r="A234" s="590">
        <f t="shared" si="87"/>
        <v>67</v>
      </c>
      <c r="B234" s="885">
        <v>7</v>
      </c>
      <c r="C234" s="1341" t="s">
        <v>1361</v>
      </c>
      <c r="D234" s="1030" t="s">
        <v>1362</v>
      </c>
      <c r="E234" s="1342" t="s">
        <v>1363</v>
      </c>
      <c r="F234" s="1032" t="s">
        <v>1364</v>
      </c>
      <c r="G234" s="530">
        <f t="shared" ref="G234" si="100">+H234+N234</f>
        <v>0</v>
      </c>
      <c r="H234" s="531">
        <f t="shared" ref="H234" si="101">+I234+J234+K234+L234+M234</f>
        <v>0</v>
      </c>
      <c r="I234" s="1320"/>
      <c r="J234" s="1324"/>
      <c r="K234" s="1324"/>
      <c r="L234" s="1324"/>
      <c r="M234" s="1325"/>
      <c r="N234" s="531">
        <f t="shared" ref="N234" si="102">+O234+P234+Q234</f>
        <v>0</v>
      </c>
      <c r="O234" s="1323"/>
      <c r="P234" s="1324"/>
      <c r="Q234" s="1325"/>
      <c r="R234" s="523"/>
    </row>
    <row r="235" spans="1:18" s="536" customFormat="1">
      <c r="A235" s="590">
        <f t="shared" si="87"/>
        <v>68</v>
      </c>
      <c r="B235" s="885">
        <v>7</v>
      </c>
      <c r="C235" s="1341" t="s">
        <v>1052</v>
      </c>
      <c r="D235" s="1030" t="s">
        <v>1366</v>
      </c>
      <c r="E235" s="1342" t="s">
        <v>1265</v>
      </c>
      <c r="F235" s="1032" t="s">
        <v>1367</v>
      </c>
      <c r="G235" s="530">
        <f t="shared" si="84"/>
        <v>0</v>
      </c>
      <c r="H235" s="531">
        <f t="shared" si="85"/>
        <v>0</v>
      </c>
      <c r="I235" s="1320"/>
      <c r="J235" s="1324"/>
      <c r="K235" s="1324"/>
      <c r="L235" s="1324"/>
      <c r="M235" s="1325"/>
      <c r="N235" s="531">
        <f t="shared" si="86"/>
        <v>0</v>
      </c>
      <c r="O235" s="1323"/>
      <c r="P235" s="1324"/>
      <c r="Q235" s="1325"/>
      <c r="R235" s="523"/>
    </row>
    <row r="236" spans="1:18" s="536" customFormat="1">
      <c r="A236" s="590">
        <f t="shared" si="87"/>
        <v>69</v>
      </c>
      <c r="B236" s="885">
        <v>7</v>
      </c>
      <c r="C236" s="1341" t="s">
        <v>1296</v>
      </c>
      <c r="D236" s="1030" t="s">
        <v>1294</v>
      </c>
      <c r="E236" s="1342" t="s">
        <v>1265</v>
      </c>
      <c r="F236" s="1032" t="s">
        <v>1368</v>
      </c>
      <c r="G236" s="530">
        <f t="shared" ref="G236" si="103">+H236+N236</f>
        <v>0</v>
      </c>
      <c r="H236" s="531">
        <f t="shared" ref="H236" si="104">+I236+J236+K236+L236+M236</f>
        <v>0</v>
      </c>
      <c r="I236" s="1320"/>
      <c r="J236" s="1324"/>
      <c r="K236" s="1324"/>
      <c r="L236" s="1324"/>
      <c r="M236" s="1325"/>
      <c r="N236" s="531">
        <f t="shared" ref="N236" si="105">+O236+P236+Q236</f>
        <v>0</v>
      </c>
      <c r="O236" s="1323"/>
      <c r="P236" s="1324"/>
      <c r="Q236" s="1325"/>
      <c r="R236" s="523"/>
    </row>
    <row r="237" spans="1:18" s="536" customFormat="1">
      <c r="A237" s="590">
        <f t="shared" si="87"/>
        <v>70</v>
      </c>
      <c r="B237" s="885">
        <v>7</v>
      </c>
      <c r="C237" s="1341" t="s">
        <v>1369</v>
      </c>
      <c r="D237" s="1030" t="s">
        <v>1371</v>
      </c>
      <c r="E237" s="1342" t="s">
        <v>1265</v>
      </c>
      <c r="F237" s="1032" t="s">
        <v>1370</v>
      </c>
      <c r="G237" s="530">
        <f t="shared" si="84"/>
        <v>0</v>
      </c>
      <c r="H237" s="531">
        <f t="shared" si="85"/>
        <v>0</v>
      </c>
      <c r="I237" s="1320"/>
      <c r="J237" s="1324"/>
      <c r="K237" s="1324"/>
      <c r="L237" s="1324"/>
      <c r="M237" s="1325"/>
      <c r="N237" s="531">
        <f t="shared" si="86"/>
        <v>0</v>
      </c>
      <c r="O237" s="1323"/>
      <c r="P237" s="1324"/>
      <c r="Q237" s="1325"/>
      <c r="R237" s="523"/>
    </row>
    <row r="238" spans="1:18" s="536" customFormat="1">
      <c r="A238" s="590">
        <f t="shared" si="87"/>
        <v>71</v>
      </c>
      <c r="B238" s="885">
        <v>7</v>
      </c>
      <c r="C238" s="1341" t="s">
        <v>1302</v>
      </c>
      <c r="D238" s="1030" t="s">
        <v>1303</v>
      </c>
      <c r="E238" s="1342" t="s">
        <v>1265</v>
      </c>
      <c r="F238" s="1032" t="s">
        <v>1372</v>
      </c>
      <c r="G238" s="530">
        <f t="shared" ref="G238" si="106">+H238+N238</f>
        <v>0</v>
      </c>
      <c r="H238" s="531">
        <f t="shared" ref="H238" si="107">+I238+J238+K238+L238+M238</f>
        <v>0</v>
      </c>
      <c r="I238" s="1320"/>
      <c r="J238" s="1324"/>
      <c r="K238" s="1324"/>
      <c r="L238" s="1324"/>
      <c r="M238" s="1325"/>
      <c r="N238" s="531">
        <f t="shared" ref="N238" si="108">+O238+P238+Q238</f>
        <v>0</v>
      </c>
      <c r="O238" s="1323"/>
      <c r="P238" s="1324"/>
      <c r="Q238" s="1325"/>
      <c r="R238" s="523"/>
    </row>
    <row r="239" spans="1:18" s="536" customFormat="1">
      <c r="A239" s="590">
        <f t="shared" si="87"/>
        <v>72</v>
      </c>
      <c r="B239" s="885">
        <v>7</v>
      </c>
      <c r="C239" s="1341" t="s">
        <v>1359</v>
      </c>
      <c r="D239" s="1030" t="s">
        <v>1373</v>
      </c>
      <c r="E239" s="1342" t="s">
        <v>1265</v>
      </c>
      <c r="F239" s="1032" t="s">
        <v>1374</v>
      </c>
      <c r="G239" s="530">
        <f t="shared" si="84"/>
        <v>0</v>
      </c>
      <c r="H239" s="531">
        <f t="shared" si="85"/>
        <v>0</v>
      </c>
      <c r="I239" s="1320"/>
      <c r="J239" s="1324"/>
      <c r="K239" s="1324"/>
      <c r="L239" s="1324"/>
      <c r="M239" s="1325"/>
      <c r="N239" s="531">
        <f t="shared" si="86"/>
        <v>0</v>
      </c>
      <c r="O239" s="1323"/>
      <c r="P239" s="1324"/>
      <c r="Q239" s="1325"/>
      <c r="R239" s="523"/>
    </row>
    <row r="240" spans="1:18" s="536" customFormat="1" ht="12.75" thickBot="1">
      <c r="A240" s="590">
        <f t="shared" si="87"/>
        <v>73</v>
      </c>
      <c r="B240" s="885">
        <v>8</v>
      </c>
      <c r="C240" s="1341" t="s">
        <v>680</v>
      </c>
      <c r="D240" s="1030" t="s">
        <v>679</v>
      </c>
      <c r="E240" s="1342" t="s">
        <v>1265</v>
      </c>
      <c r="F240" s="1032" t="s">
        <v>644</v>
      </c>
      <c r="G240" s="530">
        <f>+H240+N240</f>
        <v>2500</v>
      </c>
      <c r="H240" s="531">
        <f>+I240+J240+K240+L240+M240</f>
        <v>2500</v>
      </c>
      <c r="I240" s="1320"/>
      <c r="J240" s="1324"/>
      <c r="K240" s="1324">
        <v>2500</v>
      </c>
      <c r="L240" s="1324"/>
      <c r="M240" s="1325"/>
      <c r="N240" s="531">
        <f>+O240+P240+Q240</f>
        <v>0</v>
      </c>
      <c r="O240" s="1323"/>
      <c r="P240" s="1324"/>
      <c r="Q240" s="1325"/>
      <c r="R240" s="523"/>
    </row>
    <row r="241" spans="1:21" ht="12.75" thickBot="1">
      <c r="A241" s="586" t="s">
        <v>596</v>
      </c>
      <c r="B241" s="886"/>
      <c r="C241" s="1391" t="s">
        <v>411</v>
      </c>
      <c r="D241" s="1392"/>
      <c r="E241" s="1392"/>
      <c r="F241" s="1393"/>
      <c r="G241" s="538">
        <f t="shared" ref="G241:Q241" si="109">SUM(G168:G240)</f>
        <v>3308909</v>
      </c>
      <c r="H241" s="568">
        <f t="shared" si="109"/>
        <v>3186086</v>
      </c>
      <c r="I241" s="569">
        <f t="shared" si="109"/>
        <v>59779</v>
      </c>
      <c r="J241" s="570">
        <f t="shared" si="109"/>
        <v>8859</v>
      </c>
      <c r="K241" s="570">
        <f t="shared" si="109"/>
        <v>195031</v>
      </c>
      <c r="L241" s="570">
        <f t="shared" si="109"/>
        <v>52505</v>
      </c>
      <c r="M241" s="422">
        <f t="shared" si="109"/>
        <v>2869912</v>
      </c>
      <c r="N241" s="571">
        <f t="shared" si="109"/>
        <v>122823</v>
      </c>
      <c r="O241" s="569">
        <f t="shared" si="109"/>
        <v>103147</v>
      </c>
      <c r="P241" s="570">
        <f t="shared" si="109"/>
        <v>19676</v>
      </c>
      <c r="Q241" s="422">
        <f t="shared" si="109"/>
        <v>0</v>
      </c>
      <c r="R241" s="859"/>
    </row>
    <row r="242" spans="1:21">
      <c r="A242" s="590">
        <f>A240+1</f>
        <v>74</v>
      </c>
      <c r="B242" s="883">
        <v>9</v>
      </c>
      <c r="C242" s="1337" t="s">
        <v>1045</v>
      </c>
      <c r="D242" s="1028" t="s">
        <v>1044</v>
      </c>
      <c r="E242" s="1338" t="s">
        <v>1275</v>
      </c>
      <c r="F242" s="1344" t="s">
        <v>1114</v>
      </c>
      <c r="G242" s="530">
        <f t="shared" ref="G242:G247" si="110">+H242+N242</f>
        <v>3283</v>
      </c>
      <c r="H242" s="531">
        <f t="shared" ref="H242:H247" si="111">+I242+J242+K242+L242+M242</f>
        <v>3283</v>
      </c>
      <c r="I242" s="1320"/>
      <c r="J242" s="1321"/>
      <c r="K242" s="1321"/>
      <c r="L242" s="1321">
        <v>3283</v>
      </c>
      <c r="M242" s="1322"/>
      <c r="N242" s="531">
        <f t="shared" ref="N242:N247" si="112">+O242+P242+Q242</f>
        <v>0</v>
      </c>
      <c r="O242" s="1320"/>
      <c r="P242" s="1321"/>
      <c r="Q242" s="1322"/>
      <c r="R242" s="523"/>
    </row>
    <row r="243" spans="1:21">
      <c r="A243" s="590">
        <f>+A242+1</f>
        <v>75</v>
      </c>
      <c r="B243" s="884">
        <v>10</v>
      </c>
      <c r="C243" s="1340" t="s">
        <v>743</v>
      </c>
      <c r="D243" s="1022" t="s">
        <v>744</v>
      </c>
      <c r="E243" s="1339" t="s">
        <v>1265</v>
      </c>
      <c r="F243" s="1345" t="s">
        <v>665</v>
      </c>
      <c r="G243" s="530">
        <f t="shared" si="110"/>
        <v>0</v>
      </c>
      <c r="H243" s="531">
        <f t="shared" si="111"/>
        <v>0</v>
      </c>
      <c r="I243" s="1320"/>
      <c r="J243" s="1324"/>
      <c r="K243" s="1324"/>
      <c r="L243" s="1324"/>
      <c r="M243" s="1325"/>
      <c r="N243" s="531">
        <f t="shared" si="112"/>
        <v>0</v>
      </c>
      <c r="O243" s="1323"/>
      <c r="P243" s="1324"/>
      <c r="Q243" s="1325"/>
      <c r="R243" s="523"/>
    </row>
    <row r="244" spans="1:21">
      <c r="A244" s="590">
        <f t="shared" si="87"/>
        <v>76</v>
      </c>
      <c r="B244" s="883">
        <v>10</v>
      </c>
      <c r="C244" s="1337" t="s">
        <v>742</v>
      </c>
      <c r="D244" s="1028" t="s">
        <v>1037</v>
      </c>
      <c r="E244" s="1339" t="s">
        <v>1277</v>
      </c>
      <c r="F244" s="1346" t="s">
        <v>664</v>
      </c>
      <c r="G244" s="530">
        <f t="shared" si="110"/>
        <v>350000</v>
      </c>
      <c r="H244" s="531">
        <f t="shared" si="111"/>
        <v>0</v>
      </c>
      <c r="I244" s="1320"/>
      <c r="J244" s="1324"/>
      <c r="K244" s="1324"/>
      <c r="L244" s="1324"/>
      <c r="M244" s="1325"/>
      <c r="N244" s="531">
        <f t="shared" si="112"/>
        <v>350000</v>
      </c>
      <c r="O244" s="1323">
        <v>350000</v>
      </c>
      <c r="P244" s="1324"/>
      <c r="Q244" s="1325"/>
      <c r="R244" s="523"/>
    </row>
    <row r="245" spans="1:21" s="536" customFormat="1">
      <c r="A245" s="590">
        <f t="shared" ref="A245:A247" si="113">+A244+1</f>
        <v>77</v>
      </c>
      <c r="B245" s="884">
        <v>10</v>
      </c>
      <c r="C245" s="1340" t="s">
        <v>746</v>
      </c>
      <c r="D245" s="1022" t="s">
        <v>745</v>
      </c>
      <c r="E245" s="1339" t="s">
        <v>1265</v>
      </c>
      <c r="F245" s="1346" t="s">
        <v>673</v>
      </c>
      <c r="G245" s="530">
        <f t="shared" si="110"/>
        <v>1200</v>
      </c>
      <c r="H245" s="531">
        <f t="shared" si="111"/>
        <v>1200</v>
      </c>
      <c r="I245" s="1320"/>
      <c r="J245" s="1324"/>
      <c r="K245" s="1324"/>
      <c r="L245" s="1324"/>
      <c r="M245" s="1325">
        <v>1200</v>
      </c>
      <c r="N245" s="531">
        <f t="shared" si="112"/>
        <v>0</v>
      </c>
      <c r="O245" s="1323"/>
      <c r="P245" s="1324"/>
      <c r="Q245" s="1325"/>
      <c r="R245" s="523"/>
      <c r="S245" s="306"/>
      <c r="T245" s="306"/>
      <c r="U245" s="306"/>
    </row>
    <row r="246" spans="1:21">
      <c r="A246" s="590">
        <f t="shared" si="113"/>
        <v>78</v>
      </c>
      <c r="B246" s="883">
        <v>10</v>
      </c>
      <c r="C246" s="1337" t="s">
        <v>1050</v>
      </c>
      <c r="D246" s="1028" t="s">
        <v>1051</v>
      </c>
      <c r="E246" s="1339" t="s">
        <v>1265</v>
      </c>
      <c r="F246" s="1346" t="s">
        <v>663</v>
      </c>
      <c r="G246" s="530">
        <f t="shared" si="110"/>
        <v>2000</v>
      </c>
      <c r="H246" s="531">
        <f t="shared" si="111"/>
        <v>2000</v>
      </c>
      <c r="I246" s="1320"/>
      <c r="J246" s="1324"/>
      <c r="K246" s="1324">
        <v>2000</v>
      </c>
      <c r="L246" s="1324"/>
      <c r="M246" s="1325"/>
      <c r="N246" s="531">
        <f t="shared" si="112"/>
        <v>0</v>
      </c>
      <c r="O246" s="1323"/>
      <c r="P246" s="1324"/>
      <c r="Q246" s="1325"/>
      <c r="R246" s="523"/>
    </row>
    <row r="247" spans="1:21" ht="12.75" thickBot="1">
      <c r="A247" s="590">
        <f t="shared" si="113"/>
        <v>79</v>
      </c>
      <c r="B247" s="884">
        <v>9</v>
      </c>
      <c r="C247" s="1340" t="s">
        <v>696</v>
      </c>
      <c r="D247" s="1022" t="s">
        <v>697</v>
      </c>
      <c r="E247" s="1339" t="s">
        <v>1265</v>
      </c>
      <c r="F247" s="1346" t="s">
        <v>695</v>
      </c>
      <c r="G247" s="530">
        <f t="shared" si="110"/>
        <v>1755</v>
      </c>
      <c r="H247" s="531">
        <f t="shared" si="111"/>
        <v>1755</v>
      </c>
      <c r="I247" s="1320"/>
      <c r="J247" s="1324"/>
      <c r="K247" s="1324"/>
      <c r="L247" s="1324">
        <v>1755</v>
      </c>
      <c r="M247" s="1325"/>
      <c r="N247" s="531">
        <f t="shared" si="112"/>
        <v>0</v>
      </c>
      <c r="O247" s="1323"/>
      <c r="P247" s="1324"/>
      <c r="Q247" s="1325"/>
      <c r="R247" s="523"/>
    </row>
    <row r="248" spans="1:21" ht="12.75" thickBot="1">
      <c r="A248" s="586" t="s">
        <v>597</v>
      </c>
      <c r="B248" s="886"/>
      <c r="C248" s="1391" t="s">
        <v>412</v>
      </c>
      <c r="D248" s="1392"/>
      <c r="E248" s="1392"/>
      <c r="F248" s="1393"/>
      <c r="G248" s="538">
        <f t="shared" ref="G248:Q248" si="114">SUM(G242:G247)</f>
        <v>358238</v>
      </c>
      <c r="H248" s="538">
        <f t="shared" si="114"/>
        <v>8238</v>
      </c>
      <c r="I248" s="572">
        <f t="shared" si="114"/>
        <v>0</v>
      </c>
      <c r="J248" s="570">
        <f t="shared" si="114"/>
        <v>0</v>
      </c>
      <c r="K248" s="570">
        <f t="shared" si="114"/>
        <v>2000</v>
      </c>
      <c r="L248" s="570">
        <f t="shared" si="114"/>
        <v>5038</v>
      </c>
      <c r="M248" s="422">
        <f t="shared" si="114"/>
        <v>1200</v>
      </c>
      <c r="N248" s="571">
        <f t="shared" si="114"/>
        <v>350000</v>
      </c>
      <c r="O248" s="569">
        <f t="shared" si="114"/>
        <v>350000</v>
      </c>
      <c r="P248" s="570">
        <f t="shared" si="114"/>
        <v>0</v>
      </c>
      <c r="Q248" s="422">
        <f t="shared" si="114"/>
        <v>0</v>
      </c>
      <c r="R248" s="859"/>
    </row>
    <row r="249" spans="1:21" ht="12.75" customHeight="1" thickBot="1">
      <c r="A249" s="590">
        <f>+A247+1</f>
        <v>80</v>
      </c>
      <c r="B249" s="884">
        <v>11</v>
      </c>
      <c r="C249" s="1340" t="s">
        <v>19</v>
      </c>
      <c r="D249" s="1347" t="s">
        <v>19</v>
      </c>
      <c r="E249" s="1338" t="s">
        <v>19</v>
      </c>
      <c r="F249" s="1347" t="s">
        <v>19</v>
      </c>
      <c r="G249" s="518">
        <f>+H249+N249</f>
        <v>0</v>
      </c>
      <c r="H249" s="519">
        <f>+I249+J249+K249+L249+M249</f>
        <v>0</v>
      </c>
      <c r="I249" s="1320"/>
      <c r="J249" s="1324"/>
      <c r="K249" s="1324"/>
      <c r="L249" s="1324"/>
      <c r="M249" s="1325"/>
      <c r="N249" s="519">
        <f>+O249+P249+Q249</f>
        <v>0</v>
      </c>
      <c r="O249" s="1323"/>
      <c r="P249" s="1324"/>
      <c r="Q249" s="1325"/>
      <c r="R249" s="523"/>
      <c r="S249" s="536"/>
      <c r="T249" s="536"/>
      <c r="U249" s="536"/>
    </row>
    <row r="250" spans="1:21" ht="12.75" thickBot="1">
      <c r="A250" s="586" t="s">
        <v>598</v>
      </c>
      <c r="B250" s="886"/>
      <c r="C250" s="1391" t="s">
        <v>413</v>
      </c>
      <c r="D250" s="1392"/>
      <c r="E250" s="1392"/>
      <c r="F250" s="1393"/>
      <c r="G250" s="538">
        <f t="shared" ref="G250:Q250" si="115">SUM(G249:G249)</f>
        <v>0</v>
      </c>
      <c r="H250" s="538">
        <f t="shared" si="115"/>
        <v>0</v>
      </c>
      <c r="I250" s="572">
        <f t="shared" si="115"/>
        <v>0</v>
      </c>
      <c r="J250" s="570">
        <f t="shared" si="115"/>
        <v>0</v>
      </c>
      <c r="K250" s="570">
        <f t="shared" si="115"/>
        <v>0</v>
      </c>
      <c r="L250" s="570">
        <f t="shared" si="115"/>
        <v>0</v>
      </c>
      <c r="M250" s="422">
        <f t="shared" si="115"/>
        <v>0</v>
      </c>
      <c r="N250" s="571">
        <f t="shared" si="115"/>
        <v>0</v>
      </c>
      <c r="O250" s="569">
        <f t="shared" si="115"/>
        <v>0</v>
      </c>
      <c r="P250" s="570">
        <f t="shared" si="115"/>
        <v>0</v>
      </c>
      <c r="Q250" s="422">
        <f t="shared" si="115"/>
        <v>0</v>
      </c>
      <c r="R250" s="859"/>
    </row>
    <row r="251" spans="1:21" s="521" customFormat="1" ht="12.75" thickBot="1">
      <c r="A251" s="587" t="s">
        <v>23</v>
      </c>
      <c r="B251" s="887"/>
      <c r="C251" s="1394" t="s">
        <v>414</v>
      </c>
      <c r="D251" s="1395"/>
      <c r="E251" s="1395"/>
      <c r="F251" s="1396"/>
      <c r="G251" s="541">
        <f t="shared" ref="G251:Q251" si="116">+G241+G248+G250</f>
        <v>3667147</v>
      </c>
      <c r="H251" s="541">
        <f t="shared" si="116"/>
        <v>3194324</v>
      </c>
      <c r="I251" s="573">
        <f t="shared" si="116"/>
        <v>59779</v>
      </c>
      <c r="J251" s="574">
        <f t="shared" si="116"/>
        <v>8859</v>
      </c>
      <c r="K251" s="574">
        <f t="shared" si="116"/>
        <v>197031</v>
      </c>
      <c r="L251" s="574">
        <f t="shared" si="116"/>
        <v>57543</v>
      </c>
      <c r="M251" s="575">
        <f t="shared" si="116"/>
        <v>2871112</v>
      </c>
      <c r="N251" s="541">
        <f t="shared" si="116"/>
        <v>472823</v>
      </c>
      <c r="O251" s="573">
        <f t="shared" si="116"/>
        <v>453147</v>
      </c>
      <c r="P251" s="574">
        <f t="shared" si="116"/>
        <v>19676</v>
      </c>
      <c r="Q251" s="575">
        <f t="shared" si="116"/>
        <v>0</v>
      </c>
      <c r="R251" s="859"/>
      <c r="S251" s="306"/>
      <c r="T251" s="306"/>
      <c r="U251" s="306"/>
    </row>
    <row r="252" spans="1:21" ht="12.75" thickBot="1">
      <c r="A252" s="878"/>
      <c r="B252" s="888"/>
      <c r="C252" s="987"/>
      <c r="D252" s="584"/>
      <c r="E252" s="982"/>
      <c r="F252" s="545"/>
      <c r="G252" s="546"/>
      <c r="H252" s="547"/>
      <c r="I252" s="548"/>
      <c r="J252" s="549"/>
      <c r="K252" s="549"/>
      <c r="L252" s="549"/>
      <c r="M252" s="550"/>
      <c r="N252" s="547"/>
      <c r="O252" s="548"/>
      <c r="P252" s="549"/>
      <c r="Q252" s="550"/>
      <c r="R252" s="859"/>
    </row>
    <row r="253" spans="1:21" s="536" customFormat="1">
      <c r="A253" s="591">
        <f>A249+1</f>
        <v>81</v>
      </c>
      <c r="B253" s="889">
        <v>12</v>
      </c>
      <c r="C253" s="1348" t="s">
        <v>676</v>
      </c>
      <c r="D253" s="1042" t="s">
        <v>675</v>
      </c>
      <c r="E253" s="1349" t="s">
        <v>1265</v>
      </c>
      <c r="F253" s="1350" t="s">
        <v>1010</v>
      </c>
      <c r="G253" s="516">
        <f>+H253+N253</f>
        <v>217703</v>
      </c>
      <c r="H253" s="517">
        <f>+I253+J253+K253+L253+M253</f>
        <v>217703</v>
      </c>
      <c r="I253" s="1326">
        <v>161113</v>
      </c>
      <c r="J253" s="1327">
        <v>32843</v>
      </c>
      <c r="K253" s="1327">
        <v>23747</v>
      </c>
      <c r="L253" s="1327"/>
      <c r="M253" s="1328"/>
      <c r="N253" s="517">
        <f>+O253+P253+Q253</f>
        <v>0</v>
      </c>
      <c r="O253" s="1326"/>
      <c r="P253" s="1327"/>
      <c r="Q253" s="1328"/>
      <c r="R253" s="523"/>
      <c r="S253" s="306"/>
      <c r="T253" s="306"/>
      <c r="U253" s="306"/>
    </row>
    <row r="254" spans="1:21" s="525" customFormat="1" ht="24">
      <c r="A254" s="590">
        <f>+A253+1</f>
        <v>82</v>
      </c>
      <c r="B254" s="884">
        <v>13</v>
      </c>
      <c r="C254" s="1340" t="s">
        <v>1052</v>
      </c>
      <c r="D254" s="1022" t="s">
        <v>1297</v>
      </c>
      <c r="E254" s="1338" t="s">
        <v>1265</v>
      </c>
      <c r="F254" s="1347" t="s">
        <v>1288</v>
      </c>
      <c r="G254" s="518">
        <f>+H254+N254</f>
        <v>0</v>
      </c>
      <c r="H254" s="519">
        <f>+I254+J254+K254+L254+M254</f>
        <v>0</v>
      </c>
      <c r="I254" s="1323"/>
      <c r="J254" s="1324"/>
      <c r="K254" s="1324"/>
      <c r="L254" s="1324"/>
      <c r="M254" s="1325"/>
      <c r="N254" s="519">
        <f>+O254+P254+Q254</f>
        <v>0</v>
      </c>
      <c r="O254" s="1323"/>
      <c r="P254" s="1324"/>
      <c r="Q254" s="1325"/>
      <c r="R254" s="523"/>
    </row>
    <row r="255" spans="1:21" s="525" customFormat="1">
      <c r="A255" s="590">
        <f t="shared" ref="A255:A257" si="117">+A254+1</f>
        <v>83</v>
      </c>
      <c r="B255" s="884">
        <v>14</v>
      </c>
      <c r="C255" s="1340" t="s">
        <v>710</v>
      </c>
      <c r="D255" s="1022" t="s">
        <v>709</v>
      </c>
      <c r="E255" s="1339" t="s">
        <v>1269</v>
      </c>
      <c r="F255" s="1345" t="s">
        <v>785</v>
      </c>
      <c r="G255" s="518">
        <f>+H255+N255</f>
        <v>62098</v>
      </c>
      <c r="H255" s="519">
        <f>+I255+J255+K255+L255+M255</f>
        <v>62098</v>
      </c>
      <c r="I255" s="1323">
        <v>44679</v>
      </c>
      <c r="J255" s="1324">
        <v>8862</v>
      </c>
      <c r="K255" s="1324">
        <v>8557</v>
      </c>
      <c r="L255" s="1324"/>
      <c r="M255" s="1325"/>
      <c r="N255" s="519">
        <f>+O255+P255+Q255</f>
        <v>0</v>
      </c>
      <c r="O255" s="1323"/>
      <c r="P255" s="1324"/>
      <c r="Q255" s="1325"/>
      <c r="R255" s="523"/>
    </row>
    <row r="256" spans="1:21" s="525" customFormat="1">
      <c r="A256" s="590">
        <f t="shared" si="117"/>
        <v>84</v>
      </c>
      <c r="B256" s="884">
        <v>14</v>
      </c>
      <c r="C256" s="1340" t="s">
        <v>710</v>
      </c>
      <c r="D256" s="1022" t="s">
        <v>709</v>
      </c>
      <c r="E256" s="1339" t="s">
        <v>1269</v>
      </c>
      <c r="F256" s="1345" t="s">
        <v>1055</v>
      </c>
      <c r="G256" s="518">
        <f>+H256+N256</f>
        <v>67469</v>
      </c>
      <c r="H256" s="519">
        <f>+I256+J256+K256+L256+M256</f>
        <v>67469</v>
      </c>
      <c r="I256" s="1323">
        <v>52393</v>
      </c>
      <c r="J256" s="1324">
        <v>10377</v>
      </c>
      <c r="K256" s="1324">
        <v>4699</v>
      </c>
      <c r="L256" s="1324"/>
      <c r="M256" s="1325"/>
      <c r="N256" s="519">
        <f>+O256+P256+Q256</f>
        <v>0</v>
      </c>
      <c r="O256" s="1323"/>
      <c r="P256" s="1324"/>
      <c r="Q256" s="1325"/>
      <c r="R256" s="523"/>
    </row>
    <row r="257" spans="1:21" s="525" customFormat="1" ht="12.75" thickBot="1">
      <c r="A257" s="590">
        <f t="shared" si="117"/>
        <v>85</v>
      </c>
      <c r="B257" s="884">
        <v>14</v>
      </c>
      <c r="C257" s="1340" t="s">
        <v>1017</v>
      </c>
      <c r="D257" s="1022" t="s">
        <v>1018</v>
      </c>
      <c r="E257" s="1339" t="s">
        <v>1265</v>
      </c>
      <c r="F257" s="1345" t="s">
        <v>1010</v>
      </c>
      <c r="G257" s="518">
        <f>+H257+N257</f>
        <v>0</v>
      </c>
      <c r="H257" s="519">
        <f>+I257+J257+K257+L257+M257</f>
        <v>0</v>
      </c>
      <c r="I257" s="1323"/>
      <c r="J257" s="1324"/>
      <c r="K257" s="1324"/>
      <c r="L257" s="1324"/>
      <c r="M257" s="1325"/>
      <c r="N257" s="519">
        <f>+O257+P257+Q257</f>
        <v>0</v>
      </c>
      <c r="O257" s="1323"/>
      <c r="P257" s="1324"/>
      <c r="Q257" s="1325"/>
      <c r="R257" s="523"/>
    </row>
    <row r="258" spans="1:21" s="525" customFormat="1" ht="12.75" thickBot="1">
      <c r="A258" s="586" t="s">
        <v>599</v>
      </c>
      <c r="B258" s="886"/>
      <c r="C258" s="1391" t="s">
        <v>879</v>
      </c>
      <c r="D258" s="1392"/>
      <c r="E258" s="1392"/>
      <c r="F258" s="1393"/>
      <c r="G258" s="538">
        <f>SUM(G253:G257)</f>
        <v>347270</v>
      </c>
      <c r="H258" s="568">
        <f t="shared" ref="H258:Q258" si="118">SUM(H253:H257)</f>
        <v>347270</v>
      </c>
      <c r="I258" s="569">
        <f t="shared" si="118"/>
        <v>258185</v>
      </c>
      <c r="J258" s="570">
        <f t="shared" si="118"/>
        <v>52082</v>
      </c>
      <c r="K258" s="570">
        <f t="shared" si="118"/>
        <v>37003</v>
      </c>
      <c r="L258" s="570">
        <f t="shared" si="118"/>
        <v>0</v>
      </c>
      <c r="M258" s="422">
        <f t="shared" si="118"/>
        <v>0</v>
      </c>
      <c r="N258" s="571">
        <f t="shared" si="118"/>
        <v>0</v>
      </c>
      <c r="O258" s="569">
        <f t="shared" si="118"/>
        <v>0</v>
      </c>
      <c r="P258" s="570">
        <f t="shared" si="118"/>
        <v>0</v>
      </c>
      <c r="Q258" s="422">
        <f t="shared" si="118"/>
        <v>0</v>
      </c>
      <c r="R258" s="859"/>
    </row>
    <row r="259" spans="1:21" s="525" customFormat="1">
      <c r="A259" s="590">
        <f>+A257+1</f>
        <v>86</v>
      </c>
      <c r="B259" s="884">
        <v>15</v>
      </c>
      <c r="C259" s="1340" t="s">
        <v>676</v>
      </c>
      <c r="D259" s="1022" t="s">
        <v>675</v>
      </c>
      <c r="E259" s="1339" t="s">
        <v>1278</v>
      </c>
      <c r="F259" s="1345" t="s">
        <v>417</v>
      </c>
      <c r="G259" s="530">
        <f>+H259+N259</f>
        <v>30175</v>
      </c>
      <c r="H259" s="531">
        <f>+I259+J259+K259+M259</f>
        <v>30175</v>
      </c>
      <c r="I259" s="1320">
        <v>7922</v>
      </c>
      <c r="J259" s="1321">
        <v>1573</v>
      </c>
      <c r="K259" s="1321">
        <v>20680</v>
      </c>
      <c r="L259" s="1321"/>
      <c r="M259" s="1322"/>
      <c r="N259" s="531">
        <f>+O259+P259+Q259</f>
        <v>0</v>
      </c>
      <c r="O259" s="1320"/>
      <c r="P259" s="1321"/>
      <c r="Q259" s="1322"/>
      <c r="R259" s="523"/>
      <c r="S259" s="521"/>
      <c r="T259" s="521"/>
      <c r="U259" s="521"/>
    </row>
    <row r="260" spans="1:21" s="525" customFormat="1">
      <c r="A260" s="590">
        <f>+A259+1</f>
        <v>87</v>
      </c>
      <c r="B260" s="884">
        <v>16</v>
      </c>
      <c r="C260" s="1340" t="s">
        <v>1090</v>
      </c>
      <c r="D260" s="1022" t="s">
        <v>741</v>
      </c>
      <c r="E260" s="1339" t="s">
        <v>1265</v>
      </c>
      <c r="F260" s="1345" t="s">
        <v>656</v>
      </c>
      <c r="G260" s="518">
        <f>+H260+N260</f>
        <v>7863</v>
      </c>
      <c r="H260" s="519">
        <f>+I260+J260+K260+L260+M260</f>
        <v>7863</v>
      </c>
      <c r="I260" s="1323">
        <v>6326</v>
      </c>
      <c r="J260" s="1324">
        <v>1156</v>
      </c>
      <c r="K260" s="1324">
        <v>381</v>
      </c>
      <c r="L260" s="1324"/>
      <c r="M260" s="1325"/>
      <c r="N260" s="519">
        <f>+O260+P260+Q260</f>
        <v>0</v>
      </c>
      <c r="O260" s="1323"/>
      <c r="P260" s="1324"/>
      <c r="Q260" s="1325"/>
      <c r="R260" s="523"/>
    </row>
    <row r="261" spans="1:21" s="525" customFormat="1" ht="12.75" thickBot="1">
      <c r="A261" s="590">
        <f>+A260+1</f>
        <v>88</v>
      </c>
      <c r="B261" s="884">
        <v>17</v>
      </c>
      <c r="C261" s="1340" t="s">
        <v>743</v>
      </c>
      <c r="D261" s="1022" t="s">
        <v>744</v>
      </c>
      <c r="E261" s="1339" t="s">
        <v>1265</v>
      </c>
      <c r="F261" s="1345" t="s">
        <v>669</v>
      </c>
      <c r="G261" s="530">
        <f>+H261+N261</f>
        <v>0</v>
      </c>
      <c r="H261" s="531">
        <f>+I261+J261+K261+M261</f>
        <v>0</v>
      </c>
      <c r="I261" s="1323"/>
      <c r="J261" s="1324"/>
      <c r="K261" s="1324"/>
      <c r="L261" s="1324"/>
      <c r="M261" s="1325"/>
      <c r="N261" s="531">
        <f>+O261+P261+Q261</f>
        <v>0</v>
      </c>
      <c r="O261" s="1323"/>
      <c r="P261" s="1324"/>
      <c r="Q261" s="1325"/>
      <c r="R261" s="523"/>
      <c r="S261" s="306"/>
      <c r="T261" s="306"/>
      <c r="U261" s="306"/>
    </row>
    <row r="262" spans="1:21" s="536" customFormat="1" ht="12.75" thickBot="1">
      <c r="A262" s="586" t="s">
        <v>641</v>
      </c>
      <c r="B262" s="886"/>
      <c r="C262" s="1391" t="s">
        <v>880</v>
      </c>
      <c r="D262" s="1392"/>
      <c r="E262" s="1392"/>
      <c r="F262" s="1393"/>
      <c r="G262" s="538">
        <f>SUM(G259:G261)</f>
        <v>38038</v>
      </c>
      <c r="H262" s="568">
        <f t="shared" ref="H262:Q262" si="119">SUM(H259:H261)</f>
        <v>38038</v>
      </c>
      <c r="I262" s="569">
        <f t="shared" si="119"/>
        <v>14248</v>
      </c>
      <c r="J262" s="570">
        <f t="shared" si="119"/>
        <v>2729</v>
      </c>
      <c r="K262" s="570">
        <f t="shared" si="119"/>
        <v>21061</v>
      </c>
      <c r="L262" s="570">
        <f t="shared" si="119"/>
        <v>0</v>
      </c>
      <c r="M262" s="422">
        <f t="shared" si="119"/>
        <v>0</v>
      </c>
      <c r="N262" s="571">
        <f t="shared" si="119"/>
        <v>0</v>
      </c>
      <c r="O262" s="569">
        <f t="shared" si="119"/>
        <v>0</v>
      </c>
      <c r="P262" s="570">
        <f t="shared" si="119"/>
        <v>0</v>
      </c>
      <c r="Q262" s="422">
        <f t="shared" si="119"/>
        <v>0</v>
      </c>
      <c r="R262" s="859"/>
      <c r="S262" s="521"/>
      <c r="T262" s="521"/>
      <c r="U262" s="521"/>
    </row>
    <row r="263" spans="1:21" s="536" customFormat="1">
      <c r="A263" s="590">
        <f>+A261+1</f>
        <v>89</v>
      </c>
      <c r="B263" s="883">
        <v>18</v>
      </c>
      <c r="C263" s="1337" t="s">
        <v>750</v>
      </c>
      <c r="D263" s="1028" t="s">
        <v>749</v>
      </c>
      <c r="E263" s="1338" t="s">
        <v>1265</v>
      </c>
      <c r="F263" s="1351" t="s">
        <v>667</v>
      </c>
      <c r="G263" s="516">
        <f t="shared" ref="G263:G269" si="120">+H263+N263</f>
        <v>0</v>
      </c>
      <c r="H263" s="517">
        <f t="shared" ref="H263:H269" si="121">+I263+J263+K263+L263+M263</f>
        <v>0</v>
      </c>
      <c r="I263" s="1326"/>
      <c r="J263" s="1327"/>
      <c r="K263" s="1327"/>
      <c r="L263" s="1327"/>
      <c r="M263" s="1328"/>
      <c r="N263" s="517">
        <f t="shared" ref="N263:N269" si="122">+O263+P263+Q263</f>
        <v>0</v>
      </c>
      <c r="O263" s="1326"/>
      <c r="P263" s="1327"/>
      <c r="Q263" s="1328"/>
      <c r="R263" s="523"/>
      <c r="S263" s="306"/>
      <c r="T263" s="306"/>
      <c r="U263" s="306"/>
    </row>
    <row r="264" spans="1:21" s="525" customFormat="1">
      <c r="A264" s="590">
        <f t="shared" ref="A264:A269" si="123">+A263+1</f>
        <v>90</v>
      </c>
      <c r="B264" s="883">
        <v>18</v>
      </c>
      <c r="C264" s="1337" t="s">
        <v>750</v>
      </c>
      <c r="D264" s="1028" t="s">
        <v>749</v>
      </c>
      <c r="E264" s="1338" t="s">
        <v>1265</v>
      </c>
      <c r="F264" s="1351" t="s">
        <v>668</v>
      </c>
      <c r="G264" s="518">
        <f t="shared" si="120"/>
        <v>0</v>
      </c>
      <c r="H264" s="519">
        <f t="shared" si="121"/>
        <v>0</v>
      </c>
      <c r="I264" s="1323"/>
      <c r="J264" s="1324"/>
      <c r="K264" s="1324"/>
      <c r="L264" s="1324"/>
      <c r="M264" s="1325"/>
      <c r="N264" s="519">
        <f t="shared" si="122"/>
        <v>0</v>
      </c>
      <c r="O264" s="1323"/>
      <c r="P264" s="1324"/>
      <c r="Q264" s="1325"/>
      <c r="R264" s="523"/>
    </row>
    <row r="265" spans="1:21" s="525" customFormat="1">
      <c r="A265" s="590">
        <f t="shared" si="123"/>
        <v>91</v>
      </c>
      <c r="B265" s="883">
        <v>18</v>
      </c>
      <c r="C265" s="1337" t="s">
        <v>750</v>
      </c>
      <c r="D265" s="1028" t="s">
        <v>749</v>
      </c>
      <c r="E265" s="1338" t="s">
        <v>1265</v>
      </c>
      <c r="F265" s="1351" t="s">
        <v>747</v>
      </c>
      <c r="G265" s="518">
        <f t="shared" si="120"/>
        <v>0</v>
      </c>
      <c r="H265" s="519">
        <f t="shared" si="121"/>
        <v>0</v>
      </c>
      <c r="I265" s="1323"/>
      <c r="J265" s="1324"/>
      <c r="K265" s="1324"/>
      <c r="L265" s="1324"/>
      <c r="M265" s="1325"/>
      <c r="N265" s="519">
        <f t="shared" si="122"/>
        <v>0</v>
      </c>
      <c r="O265" s="1323"/>
      <c r="P265" s="1324"/>
      <c r="Q265" s="1325"/>
      <c r="R265" s="523"/>
    </row>
    <row r="266" spans="1:21" s="525" customFormat="1">
      <c r="A266" s="590">
        <f t="shared" si="123"/>
        <v>92</v>
      </c>
      <c r="B266" s="883">
        <v>18</v>
      </c>
      <c r="C266" s="1337" t="s">
        <v>750</v>
      </c>
      <c r="D266" s="1028" t="s">
        <v>749</v>
      </c>
      <c r="E266" s="1338" t="s">
        <v>1265</v>
      </c>
      <c r="F266" s="1351" t="s">
        <v>748</v>
      </c>
      <c r="G266" s="518">
        <f t="shared" si="120"/>
        <v>0</v>
      </c>
      <c r="H266" s="519">
        <f t="shared" si="121"/>
        <v>0</v>
      </c>
      <c r="I266" s="1323"/>
      <c r="J266" s="1324"/>
      <c r="K266" s="1324"/>
      <c r="L266" s="1324"/>
      <c r="M266" s="1325"/>
      <c r="N266" s="519">
        <f t="shared" si="122"/>
        <v>0</v>
      </c>
      <c r="O266" s="1323"/>
      <c r="P266" s="1324"/>
      <c r="Q266" s="1325"/>
      <c r="R266" s="523"/>
    </row>
    <row r="267" spans="1:21" s="525" customFormat="1">
      <c r="A267" s="590">
        <f t="shared" si="123"/>
        <v>93</v>
      </c>
      <c r="B267" s="883">
        <v>18</v>
      </c>
      <c r="C267" s="1337" t="s">
        <v>682</v>
      </c>
      <c r="D267" s="1028" t="s">
        <v>681</v>
      </c>
      <c r="E267" s="1338" t="s">
        <v>1265</v>
      </c>
      <c r="F267" s="1351" t="s">
        <v>645</v>
      </c>
      <c r="G267" s="518">
        <f t="shared" si="120"/>
        <v>0</v>
      </c>
      <c r="H267" s="519">
        <f t="shared" si="121"/>
        <v>0</v>
      </c>
      <c r="I267" s="1323"/>
      <c r="J267" s="1324"/>
      <c r="K267" s="1324"/>
      <c r="L267" s="1324"/>
      <c r="M267" s="1325"/>
      <c r="N267" s="519">
        <f t="shared" si="122"/>
        <v>0</v>
      </c>
      <c r="O267" s="1323"/>
      <c r="P267" s="1324"/>
      <c r="Q267" s="1325"/>
      <c r="R267" s="523"/>
    </row>
    <row r="268" spans="1:21" s="525" customFormat="1">
      <c r="A268" s="590">
        <f t="shared" si="123"/>
        <v>94</v>
      </c>
      <c r="B268" s="883">
        <v>18</v>
      </c>
      <c r="C268" s="1337" t="s">
        <v>1011</v>
      </c>
      <c r="D268" s="1028" t="s">
        <v>1012</v>
      </c>
      <c r="E268" s="1338" t="s">
        <v>1265</v>
      </c>
      <c r="F268" s="1351" t="s">
        <v>1013</v>
      </c>
      <c r="G268" s="518">
        <f t="shared" si="120"/>
        <v>0</v>
      </c>
      <c r="H268" s="519">
        <f t="shared" si="121"/>
        <v>0</v>
      </c>
      <c r="I268" s="1323"/>
      <c r="J268" s="1324"/>
      <c r="K268" s="1324"/>
      <c r="L268" s="1324"/>
      <c r="M268" s="1325"/>
      <c r="N268" s="519">
        <f t="shared" si="122"/>
        <v>0</v>
      </c>
      <c r="O268" s="1323"/>
      <c r="P268" s="1324"/>
      <c r="Q268" s="1325"/>
      <c r="R268" s="523"/>
    </row>
    <row r="269" spans="1:21" s="536" customFormat="1" ht="12.75" thickBot="1">
      <c r="A269" s="590">
        <f t="shared" si="123"/>
        <v>95</v>
      </c>
      <c r="B269" s="883">
        <v>18</v>
      </c>
      <c r="C269" s="1337" t="s">
        <v>1021</v>
      </c>
      <c r="D269" s="1028" t="s">
        <v>1020</v>
      </c>
      <c r="E269" s="1338" t="s">
        <v>1265</v>
      </c>
      <c r="F269" s="1351" t="s">
        <v>1013</v>
      </c>
      <c r="G269" s="534">
        <f t="shared" si="120"/>
        <v>0</v>
      </c>
      <c r="H269" s="535">
        <f t="shared" si="121"/>
        <v>0</v>
      </c>
      <c r="I269" s="533"/>
      <c r="J269" s="532"/>
      <c r="K269" s="532"/>
      <c r="L269" s="532"/>
      <c r="M269" s="453"/>
      <c r="N269" s="535">
        <f t="shared" si="122"/>
        <v>0</v>
      </c>
      <c r="O269" s="533"/>
      <c r="P269" s="532"/>
      <c r="Q269" s="453"/>
      <c r="R269" s="523"/>
      <c r="S269" s="306"/>
      <c r="T269" s="306"/>
      <c r="U269" s="306"/>
    </row>
    <row r="270" spans="1:21" s="536" customFormat="1" ht="12.75" thickBot="1">
      <c r="A270" s="586" t="s">
        <v>755</v>
      </c>
      <c r="B270" s="886"/>
      <c r="C270" s="1391" t="s">
        <v>881</v>
      </c>
      <c r="D270" s="1392"/>
      <c r="E270" s="1392"/>
      <c r="F270" s="1393"/>
      <c r="G270" s="538">
        <f>SUM(G269)</f>
        <v>0</v>
      </c>
      <c r="H270" s="568">
        <f t="shared" ref="H270:Q270" si="124">SUM(H269)</f>
        <v>0</v>
      </c>
      <c r="I270" s="569">
        <f t="shared" si="124"/>
        <v>0</v>
      </c>
      <c r="J270" s="570">
        <f t="shared" si="124"/>
        <v>0</v>
      </c>
      <c r="K270" s="570">
        <f t="shared" si="124"/>
        <v>0</v>
      </c>
      <c r="L270" s="570">
        <f>SUM(L269)</f>
        <v>0</v>
      </c>
      <c r="M270" s="422">
        <f t="shared" si="124"/>
        <v>0</v>
      </c>
      <c r="N270" s="571">
        <f t="shared" si="124"/>
        <v>0</v>
      </c>
      <c r="O270" s="570">
        <f t="shared" si="124"/>
        <v>0</v>
      </c>
      <c r="P270" s="570">
        <f t="shared" si="124"/>
        <v>0</v>
      </c>
      <c r="Q270" s="422">
        <f t="shared" si="124"/>
        <v>0</v>
      </c>
      <c r="R270" s="859"/>
    </row>
    <row r="271" spans="1:21" s="536" customFormat="1" ht="12.75" thickBot="1">
      <c r="A271" s="587" t="s">
        <v>22</v>
      </c>
      <c r="B271" s="887"/>
      <c r="C271" s="1394" t="s">
        <v>882</v>
      </c>
      <c r="D271" s="1395"/>
      <c r="E271" s="1395"/>
      <c r="F271" s="1396"/>
      <c r="G271" s="576">
        <f t="shared" ref="G271:Q271" si="125">+G258+G262+G270</f>
        <v>385308</v>
      </c>
      <c r="H271" s="577">
        <f t="shared" si="125"/>
        <v>385308</v>
      </c>
      <c r="I271" s="573">
        <f t="shared" si="125"/>
        <v>272433</v>
      </c>
      <c r="J271" s="574">
        <f t="shared" si="125"/>
        <v>54811</v>
      </c>
      <c r="K271" s="574">
        <f t="shared" si="125"/>
        <v>58064</v>
      </c>
      <c r="L271" s="574">
        <f t="shared" si="125"/>
        <v>0</v>
      </c>
      <c r="M271" s="575">
        <f t="shared" si="125"/>
        <v>0</v>
      </c>
      <c r="N271" s="577">
        <f t="shared" si="125"/>
        <v>0</v>
      </c>
      <c r="O271" s="573">
        <f t="shared" si="125"/>
        <v>0</v>
      </c>
      <c r="P271" s="574">
        <f t="shared" si="125"/>
        <v>0</v>
      </c>
      <c r="Q271" s="575">
        <f t="shared" si="125"/>
        <v>0</v>
      </c>
      <c r="R271" s="859"/>
      <c r="S271" s="525"/>
      <c r="T271" s="525"/>
      <c r="U271" s="525"/>
    </row>
    <row r="272" spans="1:21" s="536" customFormat="1" ht="12.75" thickBot="1">
      <c r="A272" s="586"/>
      <c r="B272" s="890"/>
      <c r="C272" s="988"/>
      <c r="D272" s="585"/>
      <c r="E272" s="983"/>
      <c r="F272" s="537"/>
      <c r="G272" s="538"/>
      <c r="H272" s="422"/>
      <c r="I272" s="539"/>
      <c r="J272" s="377"/>
      <c r="K272" s="377"/>
      <c r="L272" s="377"/>
      <c r="M272" s="364"/>
      <c r="N272" s="422"/>
      <c r="O272" s="539"/>
      <c r="P272" s="377"/>
      <c r="Q272" s="364"/>
      <c r="R272" s="524"/>
      <c r="S272" s="525"/>
      <c r="T272" s="525"/>
      <c r="U272" s="525"/>
    </row>
    <row r="273" spans="1:21">
      <c r="A273" s="590">
        <f>+A269+1</f>
        <v>96</v>
      </c>
      <c r="B273" s="883">
        <v>19</v>
      </c>
      <c r="C273" s="1337" t="s">
        <v>1093</v>
      </c>
      <c r="D273" s="1028" t="s">
        <v>1094</v>
      </c>
      <c r="E273" s="1338" t="s">
        <v>1265</v>
      </c>
      <c r="F273" s="1351" t="s">
        <v>1095</v>
      </c>
      <c r="G273" s="530">
        <f t="shared" ref="G273:G278" si="126">+H273+N273</f>
        <v>279433</v>
      </c>
      <c r="H273" s="531">
        <f t="shared" ref="H273:H278" si="127">+I273+J273+K273+L273+M273</f>
        <v>278633</v>
      </c>
      <c r="I273" s="1320">
        <v>206947</v>
      </c>
      <c r="J273" s="1321">
        <v>45351</v>
      </c>
      <c r="K273" s="1321">
        <v>26335</v>
      </c>
      <c r="L273" s="1321"/>
      <c r="M273" s="1322"/>
      <c r="N273" s="531">
        <f t="shared" ref="N273:N278" si="128">+O273+P273+Q273</f>
        <v>800</v>
      </c>
      <c r="O273" s="1320">
        <v>800</v>
      </c>
      <c r="P273" s="1321"/>
      <c r="Q273" s="1322"/>
      <c r="R273" s="523"/>
    </row>
    <row r="274" spans="1:21">
      <c r="A274" s="590">
        <f>+A273+1</f>
        <v>97</v>
      </c>
      <c r="B274" s="883">
        <v>20</v>
      </c>
      <c r="C274" s="1337" t="s">
        <v>1096</v>
      </c>
      <c r="D274" s="1028" t="s">
        <v>1097</v>
      </c>
      <c r="E274" s="1338" t="s">
        <v>1279</v>
      </c>
      <c r="F274" s="1351" t="s">
        <v>1102</v>
      </c>
      <c r="G274" s="530">
        <f t="shared" si="126"/>
        <v>25236</v>
      </c>
      <c r="H274" s="531">
        <f t="shared" si="127"/>
        <v>25236</v>
      </c>
      <c r="I274" s="1320"/>
      <c r="J274" s="1324"/>
      <c r="K274" s="1324">
        <v>25236</v>
      </c>
      <c r="L274" s="1324"/>
      <c r="M274" s="1325"/>
      <c r="N274" s="531">
        <f t="shared" si="128"/>
        <v>0</v>
      </c>
      <c r="O274" s="1323"/>
      <c r="P274" s="1324"/>
      <c r="Q274" s="1325"/>
      <c r="R274" s="523"/>
    </row>
    <row r="275" spans="1:21">
      <c r="A275" s="590">
        <f>+A274+1</f>
        <v>98</v>
      </c>
      <c r="B275" s="883">
        <v>20</v>
      </c>
      <c r="C275" s="1337" t="s">
        <v>1096</v>
      </c>
      <c r="D275" s="1028" t="s">
        <v>1097</v>
      </c>
      <c r="E275" s="1338" t="s">
        <v>1280</v>
      </c>
      <c r="F275" s="1351" t="s">
        <v>1103</v>
      </c>
      <c r="G275" s="530">
        <f t="shared" si="126"/>
        <v>53915</v>
      </c>
      <c r="H275" s="531">
        <f t="shared" si="127"/>
        <v>53915</v>
      </c>
      <c r="I275" s="1320"/>
      <c r="J275" s="1324"/>
      <c r="K275" s="1324">
        <v>53915</v>
      </c>
      <c r="L275" s="1324"/>
      <c r="M275" s="1325"/>
      <c r="N275" s="531">
        <f t="shared" si="128"/>
        <v>0</v>
      </c>
      <c r="O275" s="1323"/>
      <c r="P275" s="1324"/>
      <c r="Q275" s="1325"/>
      <c r="R275" s="523"/>
    </row>
    <row r="276" spans="1:21" s="536" customFormat="1">
      <c r="A276" s="590">
        <f t="shared" ref="A276:A278" si="129">+A275+1</f>
        <v>99</v>
      </c>
      <c r="B276" s="883">
        <v>21</v>
      </c>
      <c r="C276" s="1337" t="s">
        <v>1098</v>
      </c>
      <c r="D276" s="1028" t="s">
        <v>1197</v>
      </c>
      <c r="E276" s="1338" t="s">
        <v>1281</v>
      </c>
      <c r="F276" s="1351" t="s">
        <v>581</v>
      </c>
      <c r="G276" s="530">
        <f t="shared" si="126"/>
        <v>38536</v>
      </c>
      <c r="H276" s="531">
        <f t="shared" si="127"/>
        <v>38536</v>
      </c>
      <c r="I276" s="1320">
        <v>28774</v>
      </c>
      <c r="J276" s="1324">
        <v>5671</v>
      </c>
      <c r="K276" s="1324">
        <v>4091</v>
      </c>
      <c r="L276" s="1324"/>
      <c r="M276" s="1325"/>
      <c r="N276" s="531">
        <f t="shared" si="128"/>
        <v>0</v>
      </c>
      <c r="O276" s="1323"/>
      <c r="P276" s="1324"/>
      <c r="Q276" s="1325"/>
      <c r="R276" s="523"/>
      <c r="S276" s="306"/>
      <c r="T276" s="306"/>
      <c r="U276" s="306"/>
    </row>
    <row r="277" spans="1:21">
      <c r="A277" s="590">
        <f t="shared" si="129"/>
        <v>100</v>
      </c>
      <c r="B277" s="883">
        <v>20</v>
      </c>
      <c r="C277" s="1337" t="s">
        <v>1099</v>
      </c>
      <c r="D277" s="1028" t="s">
        <v>1100</v>
      </c>
      <c r="E277" s="1338" t="s">
        <v>1282</v>
      </c>
      <c r="F277" s="1351" t="s">
        <v>1101</v>
      </c>
      <c r="G277" s="530">
        <f t="shared" si="126"/>
        <v>3030</v>
      </c>
      <c r="H277" s="531">
        <f t="shared" si="127"/>
        <v>3030</v>
      </c>
      <c r="I277" s="1320"/>
      <c r="J277" s="1324"/>
      <c r="K277" s="1324">
        <v>3030</v>
      </c>
      <c r="L277" s="1324"/>
      <c r="M277" s="1325"/>
      <c r="N277" s="531">
        <f t="shared" si="128"/>
        <v>0</v>
      </c>
      <c r="O277" s="1323"/>
      <c r="P277" s="1324"/>
      <c r="Q277" s="1325"/>
      <c r="R277" s="523"/>
    </row>
    <row r="278" spans="1:21" ht="12.75" thickBot="1">
      <c r="A278" s="590">
        <f t="shared" si="129"/>
        <v>101</v>
      </c>
      <c r="B278" s="883">
        <v>19</v>
      </c>
      <c r="C278" s="1337" t="s">
        <v>1017</v>
      </c>
      <c r="D278" s="1028" t="s">
        <v>1018</v>
      </c>
      <c r="E278" s="1338" t="s">
        <v>1265</v>
      </c>
      <c r="F278" s="1351" t="s">
        <v>1095</v>
      </c>
      <c r="G278" s="530">
        <f t="shared" si="126"/>
        <v>0</v>
      </c>
      <c r="H278" s="531">
        <f t="shared" si="127"/>
        <v>0</v>
      </c>
      <c r="I278" s="1320"/>
      <c r="J278" s="1324"/>
      <c r="K278" s="1324"/>
      <c r="L278" s="1324"/>
      <c r="M278" s="1325"/>
      <c r="N278" s="531">
        <f t="shared" si="128"/>
        <v>0</v>
      </c>
      <c r="O278" s="1323"/>
      <c r="P278" s="1324"/>
      <c r="Q278" s="1325"/>
      <c r="R278" s="523"/>
    </row>
    <row r="279" spans="1:21" ht="12.75" customHeight="1" thickBot="1">
      <c r="A279" s="586" t="s">
        <v>756</v>
      </c>
      <c r="B279" s="886"/>
      <c r="C279" s="1385" t="s">
        <v>418</v>
      </c>
      <c r="D279" s="1386"/>
      <c r="E279" s="1386"/>
      <c r="F279" s="1387"/>
      <c r="G279" s="538">
        <f>SUM(G273:G278)</f>
        <v>400150</v>
      </c>
      <c r="H279" s="422">
        <f t="shared" ref="H279:Q279" si="130">SUM(H273:H278)</f>
        <v>399350</v>
      </c>
      <c r="I279" s="539">
        <f t="shared" si="130"/>
        <v>235721</v>
      </c>
      <c r="J279" s="377">
        <f t="shared" si="130"/>
        <v>51022</v>
      </c>
      <c r="K279" s="377">
        <f t="shared" si="130"/>
        <v>112607</v>
      </c>
      <c r="L279" s="377">
        <f t="shared" si="130"/>
        <v>0</v>
      </c>
      <c r="M279" s="364">
        <f t="shared" si="130"/>
        <v>0</v>
      </c>
      <c r="N279" s="422">
        <f t="shared" si="130"/>
        <v>800</v>
      </c>
      <c r="O279" s="539">
        <f t="shared" si="130"/>
        <v>800</v>
      </c>
      <c r="P279" s="377">
        <f t="shared" si="130"/>
        <v>0</v>
      </c>
      <c r="Q279" s="364">
        <f t="shared" si="130"/>
        <v>0</v>
      </c>
      <c r="R279" s="524"/>
      <c r="S279" s="536"/>
      <c r="T279" s="536"/>
      <c r="U279" s="536"/>
    </row>
    <row r="280" spans="1:21" ht="12.75" customHeight="1" thickBot="1">
      <c r="A280" s="592">
        <f>+A278+1</f>
        <v>102</v>
      </c>
      <c r="B280" s="891">
        <v>22</v>
      </c>
      <c r="C280" s="989" t="s">
        <v>19</v>
      </c>
      <c r="D280" s="1352" t="s">
        <v>19</v>
      </c>
      <c r="E280" s="984" t="s">
        <v>19</v>
      </c>
      <c r="F280" s="1352" t="s">
        <v>19</v>
      </c>
      <c r="G280" s="562">
        <f>+H280+N280</f>
        <v>0</v>
      </c>
      <c r="H280" s="430">
        <f>+I280+J280+K280+L280+M280</f>
        <v>0</v>
      </c>
      <c r="I280" s="533"/>
      <c r="J280" s="532"/>
      <c r="K280" s="532"/>
      <c r="L280" s="532"/>
      <c r="M280" s="453"/>
      <c r="N280" s="430">
        <f>+O280+P280+Q280</f>
        <v>0</v>
      </c>
      <c r="O280" s="533"/>
      <c r="P280" s="532"/>
      <c r="Q280" s="453"/>
      <c r="R280" s="523"/>
      <c r="S280" s="536"/>
      <c r="T280" s="536"/>
      <c r="U280" s="536"/>
    </row>
    <row r="281" spans="1:21" s="521" customFormat="1" ht="12.75" customHeight="1" thickBot="1">
      <c r="A281" s="917" t="s">
        <v>757</v>
      </c>
      <c r="B281" s="886"/>
      <c r="C281" s="1385" t="s">
        <v>419</v>
      </c>
      <c r="D281" s="1386"/>
      <c r="E281" s="1386"/>
      <c r="F281" s="1387"/>
      <c r="G281" s="538">
        <f>SUM(G280)</f>
        <v>0</v>
      </c>
      <c r="H281" s="538">
        <f t="shared" ref="H281:Q281" si="131">SUM(H280)</f>
        <v>0</v>
      </c>
      <c r="I281" s="539">
        <f t="shared" si="131"/>
        <v>0</v>
      </c>
      <c r="J281" s="377">
        <f t="shared" si="131"/>
        <v>0</v>
      </c>
      <c r="K281" s="377">
        <f t="shared" si="131"/>
        <v>0</v>
      </c>
      <c r="L281" s="377">
        <f t="shared" si="131"/>
        <v>0</v>
      </c>
      <c r="M281" s="364">
        <f t="shared" si="131"/>
        <v>0</v>
      </c>
      <c r="N281" s="422">
        <f t="shared" si="131"/>
        <v>0</v>
      </c>
      <c r="O281" s="539">
        <f t="shared" si="131"/>
        <v>0</v>
      </c>
      <c r="P281" s="377">
        <f t="shared" si="131"/>
        <v>0</v>
      </c>
      <c r="Q281" s="364">
        <f t="shared" si="131"/>
        <v>0</v>
      </c>
      <c r="R281" s="524"/>
      <c r="S281" s="536"/>
      <c r="T281" s="536"/>
      <c r="U281" s="536"/>
    </row>
    <row r="282" spans="1:21" ht="12.75" customHeight="1" thickBot="1">
      <c r="A282" s="592">
        <f>+A280+1</f>
        <v>103</v>
      </c>
      <c r="B282" s="891">
        <v>23</v>
      </c>
      <c r="C282" s="989" t="s">
        <v>19</v>
      </c>
      <c r="D282" s="1352" t="s">
        <v>19</v>
      </c>
      <c r="E282" s="984" t="s">
        <v>19</v>
      </c>
      <c r="F282" s="1352" t="s">
        <v>19</v>
      </c>
      <c r="G282" s="562">
        <f>+H282+N282</f>
        <v>0</v>
      </c>
      <c r="H282" s="430">
        <f>+I282+J282+K282+L282+M282</f>
        <v>0</v>
      </c>
      <c r="I282" s="533"/>
      <c r="J282" s="532"/>
      <c r="K282" s="532"/>
      <c r="L282" s="532"/>
      <c r="M282" s="453"/>
      <c r="N282" s="430">
        <f>+O282+P282+Q282</f>
        <v>0</v>
      </c>
      <c r="O282" s="533"/>
      <c r="P282" s="532"/>
      <c r="Q282" s="453"/>
      <c r="R282" s="523"/>
      <c r="S282" s="536"/>
      <c r="T282" s="536"/>
      <c r="U282" s="536"/>
    </row>
    <row r="283" spans="1:21" s="521" customFormat="1" ht="12.75" customHeight="1" thickBot="1">
      <c r="A283" s="586" t="s">
        <v>758</v>
      </c>
      <c r="B283" s="886"/>
      <c r="C283" s="1385" t="s">
        <v>775</v>
      </c>
      <c r="D283" s="1386"/>
      <c r="E283" s="1386"/>
      <c r="F283" s="1387"/>
      <c r="G283" s="538">
        <f>SUM(G282)</f>
        <v>0</v>
      </c>
      <c r="H283" s="422">
        <f t="shared" ref="H283:Q283" si="132">SUM(H282)</f>
        <v>0</v>
      </c>
      <c r="I283" s="539">
        <f t="shared" si="132"/>
        <v>0</v>
      </c>
      <c r="J283" s="377">
        <f t="shared" si="132"/>
        <v>0</v>
      </c>
      <c r="K283" s="377">
        <f t="shared" si="132"/>
        <v>0</v>
      </c>
      <c r="L283" s="377">
        <f t="shared" si="132"/>
        <v>0</v>
      </c>
      <c r="M283" s="364">
        <f t="shared" si="132"/>
        <v>0</v>
      </c>
      <c r="N283" s="422">
        <f t="shared" si="132"/>
        <v>0</v>
      </c>
      <c r="O283" s="539">
        <f t="shared" si="132"/>
        <v>0</v>
      </c>
      <c r="P283" s="377">
        <f t="shared" si="132"/>
        <v>0</v>
      </c>
      <c r="Q283" s="364">
        <f t="shared" si="132"/>
        <v>0</v>
      </c>
      <c r="R283" s="524"/>
      <c r="S283" s="536"/>
      <c r="T283" s="536"/>
      <c r="U283" s="536"/>
    </row>
    <row r="284" spans="1:21" s="521" customFormat="1" ht="12.75" customHeight="1" thickBot="1">
      <c r="A284" s="587" t="s">
        <v>21</v>
      </c>
      <c r="B284" s="887"/>
      <c r="C284" s="1379" t="s">
        <v>420</v>
      </c>
      <c r="D284" s="1380"/>
      <c r="E284" s="1380"/>
      <c r="F284" s="1381"/>
      <c r="G284" s="541">
        <f>+G279+G281+G283</f>
        <v>400150</v>
      </c>
      <c r="H284" s="579">
        <f t="shared" ref="H284:Q284" si="133">+H279+H281+H283</f>
        <v>399350</v>
      </c>
      <c r="I284" s="542">
        <f t="shared" si="133"/>
        <v>235721</v>
      </c>
      <c r="J284" s="543">
        <f t="shared" si="133"/>
        <v>51022</v>
      </c>
      <c r="K284" s="543">
        <f t="shared" si="133"/>
        <v>112607</v>
      </c>
      <c r="L284" s="543">
        <f t="shared" si="133"/>
        <v>0</v>
      </c>
      <c r="M284" s="544">
        <f t="shared" si="133"/>
        <v>0</v>
      </c>
      <c r="N284" s="580">
        <f t="shared" si="133"/>
        <v>800</v>
      </c>
      <c r="O284" s="542">
        <f t="shared" si="133"/>
        <v>800</v>
      </c>
      <c r="P284" s="543">
        <f t="shared" si="133"/>
        <v>0</v>
      </c>
      <c r="Q284" s="544">
        <f t="shared" si="133"/>
        <v>0</v>
      </c>
      <c r="R284" s="859"/>
      <c r="S284" s="536"/>
      <c r="T284" s="536"/>
      <c r="U284" s="536"/>
    </row>
    <row r="285" spans="1:21" s="521" customFormat="1" ht="12.75" thickBot="1">
      <c r="A285" s="586"/>
      <c r="B285" s="890"/>
      <c r="C285" s="988"/>
      <c r="D285" s="585"/>
      <c r="E285" s="983"/>
      <c r="F285" s="537"/>
      <c r="G285" s="538"/>
      <c r="H285" s="422"/>
      <c r="I285" s="554"/>
      <c r="J285" s="555"/>
      <c r="K285" s="555"/>
      <c r="L285" s="555"/>
      <c r="M285" s="556"/>
      <c r="N285" s="422"/>
      <c r="O285" s="554"/>
      <c r="P285" s="555"/>
      <c r="Q285" s="556"/>
      <c r="R285" s="524"/>
      <c r="S285" s="306"/>
      <c r="T285" s="306"/>
      <c r="U285" s="306"/>
    </row>
    <row r="286" spans="1:21">
      <c r="A286" s="590">
        <f>+A282+1</f>
        <v>104</v>
      </c>
      <c r="B286" s="883">
        <v>24</v>
      </c>
      <c r="C286" s="1337" t="s">
        <v>1104</v>
      </c>
      <c r="D286" s="1028" t="s">
        <v>1105</v>
      </c>
      <c r="E286" s="1338" t="s">
        <v>1265</v>
      </c>
      <c r="F286" s="1351" t="s">
        <v>1105</v>
      </c>
      <c r="G286" s="530">
        <f>+H286+N286</f>
        <v>1470</v>
      </c>
      <c r="H286" s="531">
        <f>+I286+J286+K286+L286+M286</f>
        <v>1470</v>
      </c>
      <c r="I286" s="1320"/>
      <c r="J286" s="1321"/>
      <c r="K286" s="1321">
        <v>1470</v>
      </c>
      <c r="L286" s="1321"/>
      <c r="M286" s="1322"/>
      <c r="N286" s="531">
        <f>+O286+P286+Q286</f>
        <v>0</v>
      </c>
      <c r="O286" s="1320"/>
      <c r="P286" s="1321"/>
      <c r="Q286" s="1322"/>
      <c r="R286" s="523"/>
    </row>
    <row r="287" spans="1:21">
      <c r="A287" s="590">
        <f>+A286+1</f>
        <v>105</v>
      </c>
      <c r="B287" s="883">
        <v>25</v>
      </c>
      <c r="C287" s="1337" t="s">
        <v>1107</v>
      </c>
      <c r="D287" s="1028" t="s">
        <v>1106</v>
      </c>
      <c r="E287" s="1338" t="s">
        <v>1265</v>
      </c>
      <c r="F287" s="1351" t="s">
        <v>1106</v>
      </c>
      <c r="G287" s="530">
        <f>+H287+N287</f>
        <v>19729</v>
      </c>
      <c r="H287" s="531">
        <f>+I287+J287+K287+L287+M287</f>
        <v>17602</v>
      </c>
      <c r="I287" s="1320">
        <v>11003</v>
      </c>
      <c r="J287" s="1324">
        <v>2117</v>
      </c>
      <c r="K287" s="1324">
        <v>4482</v>
      </c>
      <c r="L287" s="1324"/>
      <c r="M287" s="1325"/>
      <c r="N287" s="531">
        <f>+O287+P287+Q287</f>
        <v>2127</v>
      </c>
      <c r="O287" s="1323">
        <v>2127</v>
      </c>
      <c r="P287" s="1324"/>
      <c r="Q287" s="1325"/>
      <c r="R287" s="523"/>
    </row>
    <row r="288" spans="1:21">
      <c r="A288" s="590">
        <f t="shared" ref="A288:A290" si="134">+A287+1</f>
        <v>106</v>
      </c>
      <c r="B288" s="883">
        <v>26</v>
      </c>
      <c r="C288" s="1337" t="s">
        <v>1109</v>
      </c>
      <c r="D288" s="1028" t="s">
        <v>1108</v>
      </c>
      <c r="E288" s="1338" t="s">
        <v>1283</v>
      </c>
      <c r="F288" s="1351" t="s">
        <v>1112</v>
      </c>
      <c r="G288" s="530">
        <f>+H288+N288</f>
        <v>6547</v>
      </c>
      <c r="H288" s="531">
        <f>+I288+J288+K288+L288+M288</f>
        <v>6293</v>
      </c>
      <c r="I288" s="1320">
        <v>3208</v>
      </c>
      <c r="J288" s="1324">
        <v>633</v>
      </c>
      <c r="K288" s="1324">
        <v>2452</v>
      </c>
      <c r="L288" s="1324"/>
      <c r="M288" s="1325"/>
      <c r="N288" s="531">
        <f>+O288+P288+Q288</f>
        <v>254</v>
      </c>
      <c r="O288" s="1323">
        <v>254</v>
      </c>
      <c r="P288" s="1324"/>
      <c r="Q288" s="1325"/>
      <c r="R288" s="523"/>
    </row>
    <row r="289" spans="1:21" s="536" customFormat="1">
      <c r="A289" s="590">
        <f t="shared" si="134"/>
        <v>107</v>
      </c>
      <c r="B289" s="883">
        <v>25</v>
      </c>
      <c r="C289" s="1337" t="s">
        <v>1110</v>
      </c>
      <c r="D289" s="1028" t="s">
        <v>1111</v>
      </c>
      <c r="E289" s="1338" t="s">
        <v>1284</v>
      </c>
      <c r="F289" s="1351" t="s">
        <v>1113</v>
      </c>
      <c r="G289" s="530">
        <f>+H289+N289</f>
        <v>26526</v>
      </c>
      <c r="H289" s="531">
        <f>+I289+J289+K289+L289+M289</f>
        <v>17856</v>
      </c>
      <c r="I289" s="1320">
        <v>10404</v>
      </c>
      <c r="J289" s="1324">
        <v>2059</v>
      </c>
      <c r="K289" s="1324">
        <v>5393</v>
      </c>
      <c r="L289" s="1324"/>
      <c r="M289" s="1325"/>
      <c r="N289" s="531">
        <f>+O289+P289+Q289</f>
        <v>8670</v>
      </c>
      <c r="O289" s="1323">
        <v>8670</v>
      </c>
      <c r="P289" s="1324"/>
      <c r="Q289" s="1325"/>
      <c r="R289" s="523"/>
      <c r="S289" s="306"/>
      <c r="T289" s="306"/>
      <c r="U289" s="306"/>
    </row>
    <row r="290" spans="1:21" s="536" customFormat="1" ht="12.75" thickBot="1">
      <c r="A290" s="590">
        <f t="shared" si="134"/>
        <v>108</v>
      </c>
      <c r="B290" s="883">
        <v>25</v>
      </c>
      <c r="C290" s="1337" t="s">
        <v>1017</v>
      </c>
      <c r="D290" s="1028" t="s">
        <v>1018</v>
      </c>
      <c r="E290" s="1338" t="s">
        <v>1265</v>
      </c>
      <c r="F290" s="1351" t="s">
        <v>1106</v>
      </c>
      <c r="G290" s="530">
        <f>+H290+N290</f>
        <v>0</v>
      </c>
      <c r="H290" s="531">
        <f>+I290+J290+K290+L290+M290</f>
        <v>0</v>
      </c>
      <c r="I290" s="1320"/>
      <c r="J290" s="1324"/>
      <c r="K290" s="1324"/>
      <c r="L290" s="1324"/>
      <c r="M290" s="1325"/>
      <c r="N290" s="531">
        <f>+O290+P290+Q290</f>
        <v>0</v>
      </c>
      <c r="O290" s="1323"/>
      <c r="P290" s="1324"/>
      <c r="Q290" s="1325"/>
      <c r="R290" s="523"/>
      <c r="S290" s="306"/>
      <c r="T290" s="306"/>
      <c r="U290" s="306"/>
    </row>
    <row r="291" spans="1:21" s="521" customFormat="1" ht="12.75" customHeight="1" thickBot="1">
      <c r="A291" s="586" t="s">
        <v>759</v>
      </c>
      <c r="B291" s="886"/>
      <c r="C291" s="1385" t="s">
        <v>421</v>
      </c>
      <c r="D291" s="1386"/>
      <c r="E291" s="1386"/>
      <c r="F291" s="1387"/>
      <c r="G291" s="538">
        <f>SUM(G286:G290)</f>
        <v>54272</v>
      </c>
      <c r="H291" s="538">
        <f t="shared" ref="H291:Q291" si="135">SUM(H286:H290)</f>
        <v>43221</v>
      </c>
      <c r="I291" s="539">
        <f t="shared" si="135"/>
        <v>24615</v>
      </c>
      <c r="J291" s="377">
        <f t="shared" si="135"/>
        <v>4809</v>
      </c>
      <c r="K291" s="377">
        <f t="shared" si="135"/>
        <v>13797</v>
      </c>
      <c r="L291" s="377">
        <f t="shared" si="135"/>
        <v>0</v>
      </c>
      <c r="M291" s="364">
        <f t="shared" si="135"/>
        <v>0</v>
      </c>
      <c r="N291" s="422">
        <f t="shared" si="135"/>
        <v>11051</v>
      </c>
      <c r="O291" s="539">
        <f t="shared" si="135"/>
        <v>11051</v>
      </c>
      <c r="P291" s="377">
        <f t="shared" si="135"/>
        <v>0</v>
      </c>
      <c r="Q291" s="364">
        <f t="shared" si="135"/>
        <v>0</v>
      </c>
      <c r="R291" s="524"/>
      <c r="S291" s="306"/>
      <c r="T291" s="306"/>
      <c r="U291" s="306"/>
    </row>
    <row r="292" spans="1:21" ht="12.75" customHeight="1" thickBot="1">
      <c r="A292" s="592">
        <f>A290+1</f>
        <v>109</v>
      </c>
      <c r="B292" s="891">
        <v>27</v>
      </c>
      <c r="C292" s="989" t="s">
        <v>19</v>
      </c>
      <c r="D292" s="583" t="s">
        <v>19</v>
      </c>
      <c r="E292" s="984" t="s">
        <v>19</v>
      </c>
      <c r="F292" s="1353" t="s">
        <v>19</v>
      </c>
      <c r="G292" s="562">
        <f>+H292+N292</f>
        <v>0</v>
      </c>
      <c r="H292" s="430">
        <f>+I292+J292+K292+L292+M292</f>
        <v>0</v>
      </c>
      <c r="I292" s="533"/>
      <c r="J292" s="532"/>
      <c r="K292" s="532"/>
      <c r="L292" s="532"/>
      <c r="M292" s="453"/>
      <c r="N292" s="430">
        <f>+O292+P292+Q292</f>
        <v>0</v>
      </c>
      <c r="O292" s="533"/>
      <c r="P292" s="532"/>
      <c r="Q292" s="453"/>
      <c r="R292" s="523"/>
      <c r="S292" s="536"/>
      <c r="T292" s="536"/>
      <c r="U292" s="536"/>
    </row>
    <row r="293" spans="1:21" s="521" customFormat="1" ht="12.75" customHeight="1" thickBot="1">
      <c r="A293" s="586" t="s">
        <v>642</v>
      </c>
      <c r="B293" s="886"/>
      <c r="C293" s="1385" t="s">
        <v>761</v>
      </c>
      <c r="D293" s="1386"/>
      <c r="E293" s="1386"/>
      <c r="F293" s="1387"/>
      <c r="G293" s="538">
        <f>SUM(G292)</f>
        <v>0</v>
      </c>
      <c r="H293" s="538">
        <f t="shared" ref="H293:Q295" si="136">SUM(H292)</f>
        <v>0</v>
      </c>
      <c r="I293" s="539">
        <f t="shared" si="136"/>
        <v>0</v>
      </c>
      <c r="J293" s="377">
        <f t="shared" si="136"/>
        <v>0</v>
      </c>
      <c r="K293" s="377">
        <f t="shared" si="136"/>
        <v>0</v>
      </c>
      <c r="L293" s="377">
        <f t="shared" si="136"/>
        <v>0</v>
      </c>
      <c r="M293" s="364">
        <f t="shared" si="136"/>
        <v>0</v>
      </c>
      <c r="N293" s="422">
        <f t="shared" si="136"/>
        <v>0</v>
      </c>
      <c r="O293" s="539">
        <f t="shared" si="136"/>
        <v>0</v>
      </c>
      <c r="P293" s="377">
        <f t="shared" si="136"/>
        <v>0</v>
      </c>
      <c r="Q293" s="364">
        <f t="shared" si="136"/>
        <v>0</v>
      </c>
      <c r="R293" s="524"/>
    </row>
    <row r="294" spans="1:21" ht="12.75" customHeight="1" thickBot="1">
      <c r="A294" s="592">
        <f>+A292+1</f>
        <v>110</v>
      </c>
      <c r="B294" s="891">
        <v>28</v>
      </c>
      <c r="C294" s="989" t="s">
        <v>19</v>
      </c>
      <c r="D294" s="583" t="s">
        <v>19</v>
      </c>
      <c r="E294" s="984" t="s">
        <v>19</v>
      </c>
      <c r="F294" s="1353" t="s">
        <v>19</v>
      </c>
      <c r="G294" s="562">
        <f>+H294+N294</f>
        <v>0</v>
      </c>
      <c r="H294" s="430">
        <f>+I294+J294+K294+L294+M294</f>
        <v>0</v>
      </c>
      <c r="I294" s="533"/>
      <c r="J294" s="532"/>
      <c r="K294" s="532"/>
      <c r="L294" s="532"/>
      <c r="M294" s="453"/>
      <c r="N294" s="430">
        <f>+O294+P294+Q294</f>
        <v>0</v>
      </c>
      <c r="O294" s="533"/>
      <c r="P294" s="532"/>
      <c r="Q294" s="453"/>
      <c r="R294" s="523"/>
      <c r="S294" s="536"/>
      <c r="T294" s="536"/>
      <c r="U294" s="536"/>
    </row>
    <row r="295" spans="1:21" s="521" customFormat="1" ht="12.75" customHeight="1" thickBot="1">
      <c r="A295" s="586" t="s">
        <v>760</v>
      </c>
      <c r="B295" s="886"/>
      <c r="C295" s="1385" t="s">
        <v>776</v>
      </c>
      <c r="D295" s="1386"/>
      <c r="E295" s="1386"/>
      <c r="F295" s="1387"/>
      <c r="G295" s="538">
        <f>SUM(G294)</f>
        <v>0</v>
      </c>
      <c r="H295" s="538">
        <f t="shared" si="136"/>
        <v>0</v>
      </c>
      <c r="I295" s="539">
        <f t="shared" si="136"/>
        <v>0</v>
      </c>
      <c r="J295" s="377">
        <f t="shared" si="136"/>
        <v>0</v>
      </c>
      <c r="K295" s="377">
        <f t="shared" si="136"/>
        <v>0</v>
      </c>
      <c r="L295" s="377">
        <f t="shared" si="136"/>
        <v>0</v>
      </c>
      <c r="M295" s="364">
        <f t="shared" si="136"/>
        <v>0</v>
      </c>
      <c r="N295" s="422">
        <f t="shared" si="136"/>
        <v>0</v>
      </c>
      <c r="O295" s="539">
        <f t="shared" si="136"/>
        <v>0</v>
      </c>
      <c r="P295" s="377">
        <f t="shared" si="136"/>
        <v>0</v>
      </c>
      <c r="Q295" s="364">
        <f t="shared" si="136"/>
        <v>0</v>
      </c>
      <c r="R295" s="524"/>
    </row>
    <row r="296" spans="1:21" s="536" customFormat="1" ht="12.75" customHeight="1" thickBot="1">
      <c r="A296" s="587" t="s">
        <v>20</v>
      </c>
      <c r="B296" s="887"/>
      <c r="C296" s="1379" t="s">
        <v>423</v>
      </c>
      <c r="D296" s="1380"/>
      <c r="E296" s="1380"/>
      <c r="F296" s="1381"/>
      <c r="G296" s="541">
        <f>+G291+G293+G295</f>
        <v>54272</v>
      </c>
      <c r="H296" s="579">
        <f t="shared" ref="H296:Q296" si="137">+H291+H293+H295</f>
        <v>43221</v>
      </c>
      <c r="I296" s="542">
        <f t="shared" si="137"/>
        <v>24615</v>
      </c>
      <c r="J296" s="543">
        <f t="shared" si="137"/>
        <v>4809</v>
      </c>
      <c r="K296" s="543">
        <f t="shared" si="137"/>
        <v>13797</v>
      </c>
      <c r="L296" s="543">
        <f t="shared" si="137"/>
        <v>0</v>
      </c>
      <c r="M296" s="544">
        <f t="shared" si="137"/>
        <v>0</v>
      </c>
      <c r="N296" s="580">
        <f t="shared" si="137"/>
        <v>11051</v>
      </c>
      <c r="O296" s="542">
        <f t="shared" si="137"/>
        <v>11051</v>
      </c>
      <c r="P296" s="543">
        <f t="shared" si="137"/>
        <v>0</v>
      </c>
      <c r="Q296" s="544">
        <f t="shared" si="137"/>
        <v>0</v>
      </c>
      <c r="R296" s="859"/>
      <c r="S296" s="521"/>
      <c r="T296" s="521"/>
      <c r="U296" s="521"/>
    </row>
    <row r="297" spans="1:21" ht="12.75" thickBot="1">
      <c r="A297" s="586"/>
      <c r="B297" s="890"/>
      <c r="C297" s="988"/>
      <c r="D297" s="585"/>
      <c r="E297" s="983"/>
      <c r="F297" s="537"/>
      <c r="G297" s="538"/>
      <c r="H297" s="422"/>
      <c r="I297" s="918"/>
      <c r="J297" s="919"/>
      <c r="K297" s="919"/>
      <c r="L297" s="919"/>
      <c r="M297" s="920"/>
      <c r="N297" s="422"/>
      <c r="O297" s="918"/>
      <c r="P297" s="919"/>
      <c r="Q297" s="920"/>
      <c r="R297" s="523"/>
      <c r="S297" s="521"/>
      <c r="T297" s="521"/>
      <c r="U297" s="521"/>
    </row>
    <row r="298" spans="1:21" ht="12.75" customHeight="1" thickBot="1">
      <c r="A298" s="590">
        <f>A294+1</f>
        <v>111</v>
      </c>
      <c r="B298" s="884">
        <v>29</v>
      </c>
      <c r="C298" s="1337" t="s">
        <v>19</v>
      </c>
      <c r="D298" s="1028" t="s">
        <v>19</v>
      </c>
      <c r="E298" s="1338" t="s">
        <v>19</v>
      </c>
      <c r="F298" s="1351" t="s">
        <v>19</v>
      </c>
      <c r="G298" s="518">
        <f>+H298+N298</f>
        <v>0</v>
      </c>
      <c r="H298" s="519">
        <f>+I298+J298+K298+L298+M298</f>
        <v>0</v>
      </c>
      <c r="I298" s="1320"/>
      <c r="J298" s="1321"/>
      <c r="K298" s="1321"/>
      <c r="L298" s="1321"/>
      <c r="M298" s="1322"/>
      <c r="N298" s="519">
        <f>+O298+P298+Q298</f>
        <v>0</v>
      </c>
      <c r="O298" s="1320"/>
      <c r="P298" s="1321"/>
      <c r="Q298" s="1322"/>
      <c r="R298" s="523"/>
      <c r="S298" s="536"/>
      <c r="T298" s="536"/>
      <c r="U298" s="536"/>
    </row>
    <row r="299" spans="1:21" s="521" customFormat="1" ht="12.75" customHeight="1" thickBot="1">
      <c r="A299" s="586" t="s">
        <v>895</v>
      </c>
      <c r="B299" s="886"/>
      <c r="C299" s="1385" t="s">
        <v>870</v>
      </c>
      <c r="D299" s="1386"/>
      <c r="E299" s="1386"/>
      <c r="F299" s="1387"/>
      <c r="G299" s="538">
        <f>SUM(G298)</f>
        <v>0</v>
      </c>
      <c r="H299" s="538">
        <f t="shared" ref="H299:Q299" si="138">SUM(H298)</f>
        <v>0</v>
      </c>
      <c r="I299" s="539">
        <f t="shared" si="138"/>
        <v>0</v>
      </c>
      <c r="J299" s="377">
        <f t="shared" si="138"/>
        <v>0</v>
      </c>
      <c r="K299" s="377">
        <f t="shared" si="138"/>
        <v>0</v>
      </c>
      <c r="L299" s="377">
        <f t="shared" si="138"/>
        <v>0</v>
      </c>
      <c r="M299" s="364">
        <f t="shared" si="138"/>
        <v>0</v>
      </c>
      <c r="N299" s="422">
        <f t="shared" si="138"/>
        <v>0</v>
      </c>
      <c r="O299" s="539">
        <f t="shared" si="138"/>
        <v>0</v>
      </c>
      <c r="P299" s="377">
        <f t="shared" si="138"/>
        <v>0</v>
      </c>
      <c r="Q299" s="364">
        <f t="shared" si="138"/>
        <v>0</v>
      </c>
      <c r="R299" s="524"/>
      <c r="S299" s="306"/>
      <c r="T299" s="306"/>
      <c r="U299" s="306"/>
    </row>
    <row r="300" spans="1:21" ht="12.75" customHeight="1">
      <c r="A300" s="946">
        <f>A298+1</f>
        <v>112</v>
      </c>
      <c r="B300" s="889">
        <v>30</v>
      </c>
      <c r="C300" s="1348" t="s">
        <v>1090</v>
      </c>
      <c r="D300" s="1042" t="s">
        <v>1091</v>
      </c>
      <c r="E300" s="1349" t="s">
        <v>1265</v>
      </c>
      <c r="F300" s="1354" t="s">
        <v>1091</v>
      </c>
      <c r="G300" s="516">
        <f>+H300+N300</f>
        <v>12720</v>
      </c>
      <c r="H300" s="517">
        <f>+I300+J300+K300+L300+M300</f>
        <v>11420</v>
      </c>
      <c r="I300" s="1326">
        <v>8952</v>
      </c>
      <c r="J300" s="1327">
        <v>1433</v>
      </c>
      <c r="K300" s="1327">
        <v>1035</v>
      </c>
      <c r="L300" s="1327"/>
      <c r="M300" s="1328"/>
      <c r="N300" s="517">
        <f>+O300+P300+Q300</f>
        <v>1300</v>
      </c>
      <c r="O300" s="1326">
        <v>1300</v>
      </c>
      <c r="P300" s="1327"/>
      <c r="Q300" s="1328"/>
      <c r="R300" s="523"/>
      <c r="S300" s="536"/>
      <c r="T300" s="536"/>
      <c r="U300" s="536"/>
    </row>
    <row r="301" spans="1:21" ht="12.75" customHeight="1" thickBot="1">
      <c r="A301" s="592">
        <f>A300+1</f>
        <v>113</v>
      </c>
      <c r="B301" s="891">
        <v>30</v>
      </c>
      <c r="C301" s="1337" t="s">
        <v>1017</v>
      </c>
      <c r="D301" s="583" t="s">
        <v>1018</v>
      </c>
      <c r="E301" s="984" t="s">
        <v>1265</v>
      </c>
      <c r="F301" s="1353" t="s">
        <v>1091</v>
      </c>
      <c r="G301" s="562">
        <f>+H301+N301</f>
        <v>3090</v>
      </c>
      <c r="H301" s="430">
        <f>+I301+J301+K301+L301+M301</f>
        <v>3090</v>
      </c>
      <c r="I301" s="533"/>
      <c r="J301" s="532"/>
      <c r="K301" s="532"/>
      <c r="L301" s="532"/>
      <c r="M301" s="453">
        <v>3090</v>
      </c>
      <c r="N301" s="430">
        <f>+O301+P301+Q301</f>
        <v>0</v>
      </c>
      <c r="O301" s="533"/>
      <c r="P301" s="532"/>
      <c r="Q301" s="453"/>
      <c r="R301" s="523"/>
      <c r="S301" s="536"/>
      <c r="T301" s="536"/>
      <c r="U301" s="536"/>
    </row>
    <row r="302" spans="1:21" s="521" customFormat="1" ht="12.75" customHeight="1" thickBot="1">
      <c r="A302" s="586" t="s">
        <v>896</v>
      </c>
      <c r="B302" s="886"/>
      <c r="C302" s="1385" t="s">
        <v>871</v>
      </c>
      <c r="D302" s="1386"/>
      <c r="E302" s="1386"/>
      <c r="F302" s="1387"/>
      <c r="G302" s="538">
        <f>SUM(G300:G301)</f>
        <v>15810</v>
      </c>
      <c r="H302" s="538">
        <f t="shared" ref="H302:Q302" si="139">SUM(H300:H301)</f>
        <v>14510</v>
      </c>
      <c r="I302" s="539">
        <f t="shared" si="139"/>
        <v>8952</v>
      </c>
      <c r="J302" s="377">
        <f t="shared" si="139"/>
        <v>1433</v>
      </c>
      <c r="K302" s="377">
        <f t="shared" si="139"/>
        <v>1035</v>
      </c>
      <c r="L302" s="377">
        <f t="shared" si="139"/>
        <v>0</v>
      </c>
      <c r="M302" s="364">
        <f t="shared" si="139"/>
        <v>3090</v>
      </c>
      <c r="N302" s="422">
        <f t="shared" si="139"/>
        <v>1300</v>
      </c>
      <c r="O302" s="539">
        <f t="shared" si="139"/>
        <v>1300</v>
      </c>
      <c r="P302" s="377">
        <f t="shared" si="139"/>
        <v>0</v>
      </c>
      <c r="Q302" s="364">
        <f t="shared" si="139"/>
        <v>0</v>
      </c>
      <c r="R302" s="524"/>
    </row>
    <row r="303" spans="1:21" ht="12.75" customHeight="1" thickBot="1">
      <c r="A303" s="592">
        <f>+A301+1</f>
        <v>114</v>
      </c>
      <c r="B303" s="891">
        <v>31</v>
      </c>
      <c r="C303" s="989" t="s">
        <v>19</v>
      </c>
      <c r="D303" s="583" t="s">
        <v>19</v>
      </c>
      <c r="E303" s="984" t="s">
        <v>19</v>
      </c>
      <c r="F303" s="1353" t="s">
        <v>19</v>
      </c>
      <c r="G303" s="562">
        <f>+H303+N303</f>
        <v>0</v>
      </c>
      <c r="H303" s="430">
        <f>+I303+J303+K303+L303+M303</f>
        <v>0</v>
      </c>
      <c r="I303" s="533"/>
      <c r="J303" s="532"/>
      <c r="K303" s="532"/>
      <c r="L303" s="532"/>
      <c r="M303" s="453"/>
      <c r="N303" s="430">
        <f>+O303+P303+Q303</f>
        <v>0</v>
      </c>
      <c r="O303" s="533"/>
      <c r="P303" s="532"/>
      <c r="Q303" s="453"/>
      <c r="R303" s="523"/>
      <c r="S303" s="536"/>
      <c r="T303" s="536"/>
      <c r="U303" s="536"/>
    </row>
    <row r="304" spans="1:21" s="521" customFormat="1" ht="12.75" customHeight="1" thickBot="1">
      <c r="A304" s="586" t="s">
        <v>897</v>
      </c>
      <c r="B304" s="886"/>
      <c r="C304" s="1385" t="s">
        <v>898</v>
      </c>
      <c r="D304" s="1386"/>
      <c r="E304" s="1386"/>
      <c r="F304" s="1387"/>
      <c r="G304" s="538">
        <f>SUM(G303)</f>
        <v>0</v>
      </c>
      <c r="H304" s="538">
        <f t="shared" ref="H304:Q304" si="140">SUM(H303)</f>
        <v>0</v>
      </c>
      <c r="I304" s="539">
        <f t="shared" si="140"/>
        <v>0</v>
      </c>
      <c r="J304" s="377">
        <f t="shared" si="140"/>
        <v>0</v>
      </c>
      <c r="K304" s="377">
        <f t="shared" si="140"/>
        <v>0</v>
      </c>
      <c r="L304" s="377">
        <f t="shared" si="140"/>
        <v>0</v>
      </c>
      <c r="M304" s="364">
        <f t="shared" si="140"/>
        <v>0</v>
      </c>
      <c r="N304" s="422">
        <f t="shared" si="140"/>
        <v>0</v>
      </c>
      <c r="O304" s="539">
        <f t="shared" si="140"/>
        <v>0</v>
      </c>
      <c r="P304" s="377">
        <f t="shared" si="140"/>
        <v>0</v>
      </c>
      <c r="Q304" s="364">
        <f t="shared" si="140"/>
        <v>0</v>
      </c>
      <c r="R304" s="524"/>
    </row>
    <row r="305" spans="1:21" s="536" customFormat="1" ht="12.75" customHeight="1" thickBot="1">
      <c r="A305" s="587" t="s">
        <v>560</v>
      </c>
      <c r="B305" s="887"/>
      <c r="C305" s="1379" t="s">
        <v>872</v>
      </c>
      <c r="D305" s="1380"/>
      <c r="E305" s="1380"/>
      <c r="F305" s="1381"/>
      <c r="G305" s="541">
        <f>+G299+G302+G304</f>
        <v>15810</v>
      </c>
      <c r="H305" s="579">
        <f t="shared" ref="H305:Q305" si="141">+H299+H302+H304</f>
        <v>14510</v>
      </c>
      <c r="I305" s="542">
        <f t="shared" si="141"/>
        <v>8952</v>
      </c>
      <c r="J305" s="543">
        <f t="shared" si="141"/>
        <v>1433</v>
      </c>
      <c r="K305" s="543">
        <f t="shared" si="141"/>
        <v>1035</v>
      </c>
      <c r="L305" s="543">
        <f t="shared" si="141"/>
        <v>0</v>
      </c>
      <c r="M305" s="544">
        <f t="shared" si="141"/>
        <v>3090</v>
      </c>
      <c r="N305" s="580">
        <f t="shared" si="141"/>
        <v>1300</v>
      </c>
      <c r="O305" s="542">
        <f t="shared" si="141"/>
        <v>1300</v>
      </c>
      <c r="P305" s="543">
        <f t="shared" si="141"/>
        <v>0</v>
      </c>
      <c r="Q305" s="544">
        <f t="shared" si="141"/>
        <v>0</v>
      </c>
      <c r="R305" s="859"/>
      <c r="S305" s="521"/>
      <c r="T305" s="521"/>
      <c r="U305" s="521"/>
    </row>
    <row r="306" spans="1:21" s="521" customFormat="1" ht="12.75" thickBot="1">
      <c r="A306" s="586"/>
      <c r="B306" s="890"/>
      <c r="C306" s="988"/>
      <c r="D306" s="585"/>
      <c r="E306" s="983"/>
      <c r="F306" s="537"/>
      <c r="G306" s="538"/>
      <c r="H306" s="422"/>
      <c r="I306" s="554"/>
      <c r="J306" s="555"/>
      <c r="K306" s="555"/>
      <c r="L306" s="555"/>
      <c r="M306" s="556"/>
      <c r="N306" s="422"/>
      <c r="O306" s="554"/>
      <c r="P306" s="555"/>
      <c r="Q306" s="556"/>
      <c r="R306" s="524"/>
      <c r="S306" s="306"/>
      <c r="T306" s="306"/>
      <c r="U306" s="306"/>
    </row>
    <row r="307" spans="1:21">
      <c r="A307" s="590">
        <f>+A303+1</f>
        <v>115</v>
      </c>
      <c r="B307" s="883">
        <v>32</v>
      </c>
      <c r="C307" s="1337" t="s">
        <v>1038</v>
      </c>
      <c r="D307" s="1028" t="s">
        <v>1039</v>
      </c>
      <c r="E307" s="1338" t="s">
        <v>1285</v>
      </c>
      <c r="F307" s="1351" t="s">
        <v>1040</v>
      </c>
      <c r="G307" s="530">
        <f>+H307+N307</f>
        <v>0</v>
      </c>
      <c r="H307" s="531">
        <f>+I307+J307+K307+L307+M307</f>
        <v>0</v>
      </c>
      <c r="I307" s="1320"/>
      <c r="J307" s="1321"/>
      <c r="K307" s="1321"/>
      <c r="L307" s="1321"/>
      <c r="M307" s="1322"/>
      <c r="N307" s="531">
        <f>+O307+P307+Q307</f>
        <v>0</v>
      </c>
      <c r="O307" s="1320"/>
      <c r="P307" s="1321"/>
      <c r="Q307" s="1322"/>
      <c r="R307" s="523"/>
    </row>
    <row r="308" spans="1:21">
      <c r="A308" s="590">
        <f>+A307+1</f>
        <v>116</v>
      </c>
      <c r="B308" s="883">
        <v>32</v>
      </c>
      <c r="C308" s="1337" t="s">
        <v>1038</v>
      </c>
      <c r="D308" s="1028" t="s">
        <v>1039</v>
      </c>
      <c r="E308" s="1338" t="s">
        <v>1286</v>
      </c>
      <c r="F308" s="1351" t="s">
        <v>1041</v>
      </c>
      <c r="G308" s="530">
        <f>+H308+N308</f>
        <v>41371</v>
      </c>
      <c r="H308" s="531">
        <f>+I308+J308+K308+L308+M308</f>
        <v>41371</v>
      </c>
      <c r="I308" s="1320">
        <v>32088</v>
      </c>
      <c r="J308" s="1324">
        <v>6223</v>
      </c>
      <c r="K308" s="1324">
        <v>3060</v>
      </c>
      <c r="L308" s="1324"/>
      <c r="M308" s="1325"/>
      <c r="N308" s="531">
        <f>+O308+P308+Q308</f>
        <v>0</v>
      </c>
      <c r="O308" s="1323"/>
      <c r="P308" s="1324"/>
      <c r="Q308" s="1325"/>
      <c r="R308" s="523"/>
    </row>
    <row r="309" spans="1:21">
      <c r="A309" s="590">
        <f>+A308+1</f>
        <v>117</v>
      </c>
      <c r="B309" s="883">
        <v>32</v>
      </c>
      <c r="C309" s="1337" t="s">
        <v>1043</v>
      </c>
      <c r="D309" s="1028" t="s">
        <v>1042</v>
      </c>
      <c r="E309" s="1338" t="s">
        <v>1285</v>
      </c>
      <c r="F309" s="1351" t="s">
        <v>1040</v>
      </c>
      <c r="G309" s="530">
        <f>+H309+N309</f>
        <v>32490</v>
      </c>
      <c r="H309" s="531">
        <f>+I309+J309+K309+L309+M309</f>
        <v>32490</v>
      </c>
      <c r="I309" s="1320">
        <v>22282</v>
      </c>
      <c r="J309" s="1324">
        <v>4348</v>
      </c>
      <c r="K309" s="1324">
        <v>5860</v>
      </c>
      <c r="L309" s="1324"/>
      <c r="M309" s="1325"/>
      <c r="N309" s="531">
        <f>+O309+P309+Q309</f>
        <v>0</v>
      </c>
      <c r="O309" s="1323"/>
      <c r="P309" s="1324"/>
      <c r="Q309" s="1325"/>
      <c r="R309" s="523"/>
    </row>
    <row r="310" spans="1:21" s="536" customFormat="1">
      <c r="A310" s="590">
        <f t="shared" ref="A310:A311" si="142">+A309+1</f>
        <v>118</v>
      </c>
      <c r="B310" s="883">
        <v>32</v>
      </c>
      <c r="C310" s="1337" t="s">
        <v>1043</v>
      </c>
      <c r="D310" s="1028" t="s">
        <v>1042</v>
      </c>
      <c r="E310" s="1338" t="s">
        <v>1286</v>
      </c>
      <c r="F310" s="1351" t="s">
        <v>1041</v>
      </c>
      <c r="G310" s="530">
        <f>+H310+N310</f>
        <v>0</v>
      </c>
      <c r="H310" s="531">
        <f>+I310+J310+K310+L310+M310</f>
        <v>0</v>
      </c>
      <c r="I310" s="1320"/>
      <c r="J310" s="1324"/>
      <c r="K310" s="1324"/>
      <c r="L310" s="1324"/>
      <c r="M310" s="1325"/>
      <c r="N310" s="531">
        <f>+O310+P310+Q310</f>
        <v>0</v>
      </c>
      <c r="O310" s="1323"/>
      <c r="P310" s="1324"/>
      <c r="Q310" s="1325"/>
      <c r="R310" s="523"/>
      <c r="S310" s="306"/>
      <c r="T310" s="306"/>
      <c r="U310" s="306"/>
    </row>
    <row r="311" spans="1:21" s="536" customFormat="1" ht="12.75" thickBot="1">
      <c r="A311" s="590">
        <f t="shared" si="142"/>
        <v>119</v>
      </c>
      <c r="B311" s="883">
        <v>32</v>
      </c>
      <c r="C311" s="1337" t="s">
        <v>1017</v>
      </c>
      <c r="D311" s="1028" t="s">
        <v>1018</v>
      </c>
      <c r="E311" s="1338" t="s">
        <v>1285</v>
      </c>
      <c r="F311" s="1351" t="s">
        <v>1040</v>
      </c>
      <c r="G311" s="530">
        <f>+H311+N311</f>
        <v>0</v>
      </c>
      <c r="H311" s="531">
        <f>+I311+J311+K311+L311+M311</f>
        <v>0</v>
      </c>
      <c r="I311" s="1320"/>
      <c r="J311" s="1324"/>
      <c r="K311" s="1324"/>
      <c r="L311" s="1324"/>
      <c r="M311" s="1325"/>
      <c r="N311" s="531">
        <f>+O311+P311+Q311</f>
        <v>0</v>
      </c>
      <c r="O311" s="1323"/>
      <c r="P311" s="1324"/>
      <c r="Q311" s="1325"/>
      <c r="R311" s="523"/>
      <c r="S311" s="306"/>
      <c r="T311" s="306"/>
      <c r="U311" s="306"/>
    </row>
    <row r="312" spans="1:21" s="521" customFormat="1" ht="12.75" customHeight="1" thickBot="1">
      <c r="A312" s="586" t="s">
        <v>1163</v>
      </c>
      <c r="B312" s="886"/>
      <c r="C312" s="1385" t="s">
        <v>1115</v>
      </c>
      <c r="D312" s="1386"/>
      <c r="E312" s="1386"/>
      <c r="F312" s="1387"/>
      <c r="G312" s="538">
        <f t="shared" ref="G312:Q312" si="143">SUM(G307:G311)</f>
        <v>73861</v>
      </c>
      <c r="H312" s="538">
        <f t="shared" si="143"/>
        <v>73861</v>
      </c>
      <c r="I312" s="539">
        <f t="shared" si="143"/>
        <v>54370</v>
      </c>
      <c r="J312" s="377">
        <f t="shared" si="143"/>
        <v>10571</v>
      </c>
      <c r="K312" s="377">
        <f t="shared" si="143"/>
        <v>8920</v>
      </c>
      <c r="L312" s="377">
        <f t="shared" si="143"/>
        <v>0</v>
      </c>
      <c r="M312" s="364">
        <f t="shared" si="143"/>
        <v>0</v>
      </c>
      <c r="N312" s="422">
        <f t="shared" si="143"/>
        <v>0</v>
      </c>
      <c r="O312" s="539">
        <f t="shared" si="143"/>
        <v>0</v>
      </c>
      <c r="P312" s="377">
        <f t="shared" si="143"/>
        <v>0</v>
      </c>
      <c r="Q312" s="364">
        <f t="shared" si="143"/>
        <v>0</v>
      </c>
      <c r="R312" s="524"/>
      <c r="S312" s="306"/>
      <c r="T312" s="306"/>
      <c r="U312" s="306"/>
    </row>
    <row r="313" spans="1:21" ht="12.75" customHeight="1" thickBot="1">
      <c r="A313" s="592">
        <f>A311+1</f>
        <v>120</v>
      </c>
      <c r="B313" s="891">
        <v>33</v>
      </c>
      <c r="C313" s="989" t="s">
        <v>19</v>
      </c>
      <c r="D313" s="583" t="s">
        <v>19</v>
      </c>
      <c r="E313" s="984" t="s">
        <v>19</v>
      </c>
      <c r="F313" s="1353" t="s">
        <v>19</v>
      </c>
      <c r="G313" s="562">
        <f>+H313+N313</f>
        <v>0</v>
      </c>
      <c r="H313" s="430">
        <f>+I313+J313+K313+L313+M313</f>
        <v>0</v>
      </c>
      <c r="I313" s="533"/>
      <c r="J313" s="532"/>
      <c r="K313" s="532"/>
      <c r="L313" s="532"/>
      <c r="M313" s="453"/>
      <c r="N313" s="430">
        <f>+O313+P313+Q313</f>
        <v>0</v>
      </c>
      <c r="O313" s="533"/>
      <c r="P313" s="532"/>
      <c r="Q313" s="453"/>
      <c r="R313" s="523"/>
      <c r="S313" s="536"/>
      <c r="T313" s="536"/>
      <c r="U313" s="536"/>
    </row>
    <row r="314" spans="1:21" s="521" customFormat="1" ht="12.75" customHeight="1" thickBot="1">
      <c r="A314" s="586" t="s">
        <v>1164</v>
      </c>
      <c r="B314" s="886"/>
      <c r="C314" s="1385" t="s">
        <v>1116</v>
      </c>
      <c r="D314" s="1386"/>
      <c r="E314" s="1386"/>
      <c r="F314" s="1387"/>
      <c r="G314" s="538">
        <f>SUM(G313)</f>
        <v>0</v>
      </c>
      <c r="H314" s="538">
        <f t="shared" ref="H314:Q314" si="144">SUM(H313)</f>
        <v>0</v>
      </c>
      <c r="I314" s="539">
        <f t="shared" si="144"/>
        <v>0</v>
      </c>
      <c r="J314" s="377">
        <f t="shared" si="144"/>
        <v>0</v>
      </c>
      <c r="K314" s="377">
        <f t="shared" si="144"/>
        <v>0</v>
      </c>
      <c r="L314" s="377">
        <f t="shared" si="144"/>
        <v>0</v>
      </c>
      <c r="M314" s="364">
        <f t="shared" si="144"/>
        <v>0</v>
      </c>
      <c r="N314" s="422">
        <f t="shared" si="144"/>
        <v>0</v>
      </c>
      <c r="O314" s="539">
        <f t="shared" si="144"/>
        <v>0</v>
      </c>
      <c r="P314" s="377">
        <f t="shared" si="144"/>
        <v>0</v>
      </c>
      <c r="Q314" s="364">
        <f t="shared" si="144"/>
        <v>0</v>
      </c>
      <c r="R314" s="524"/>
    </row>
    <row r="315" spans="1:21" ht="12.75" customHeight="1" thickBot="1">
      <c r="A315" s="592">
        <f>+A313+1</f>
        <v>121</v>
      </c>
      <c r="B315" s="891">
        <v>34</v>
      </c>
      <c r="C315" s="989" t="s">
        <v>19</v>
      </c>
      <c r="D315" s="583" t="s">
        <v>19</v>
      </c>
      <c r="E315" s="984" t="s">
        <v>19</v>
      </c>
      <c r="F315" s="1353" t="s">
        <v>19</v>
      </c>
      <c r="G315" s="562">
        <f>+H315+N315</f>
        <v>0</v>
      </c>
      <c r="H315" s="430">
        <f>+I315+J315+K315+L315+M315</f>
        <v>0</v>
      </c>
      <c r="I315" s="533"/>
      <c r="J315" s="532"/>
      <c r="K315" s="532"/>
      <c r="L315" s="532"/>
      <c r="M315" s="453"/>
      <c r="N315" s="430">
        <f>+O315+P315+Q315</f>
        <v>0</v>
      </c>
      <c r="O315" s="533"/>
      <c r="P315" s="532"/>
      <c r="Q315" s="453"/>
      <c r="R315" s="523"/>
      <c r="S315" s="536"/>
      <c r="T315" s="536"/>
      <c r="U315" s="536"/>
    </row>
    <row r="316" spans="1:21" s="521" customFormat="1" ht="12.75" customHeight="1" thickBot="1">
      <c r="A316" s="586" t="s">
        <v>1165</v>
      </c>
      <c r="B316" s="886"/>
      <c r="C316" s="1385" t="s">
        <v>1117</v>
      </c>
      <c r="D316" s="1386"/>
      <c r="E316" s="1386"/>
      <c r="F316" s="1387"/>
      <c r="G316" s="538">
        <f>SUM(G315)</f>
        <v>0</v>
      </c>
      <c r="H316" s="538">
        <f t="shared" ref="H316:Q316" si="145">SUM(H315)</f>
        <v>0</v>
      </c>
      <c r="I316" s="539">
        <f t="shared" si="145"/>
        <v>0</v>
      </c>
      <c r="J316" s="377">
        <f t="shared" si="145"/>
        <v>0</v>
      </c>
      <c r="K316" s="377">
        <f t="shared" si="145"/>
        <v>0</v>
      </c>
      <c r="L316" s="377">
        <f t="shared" si="145"/>
        <v>0</v>
      </c>
      <c r="M316" s="364">
        <f t="shared" si="145"/>
        <v>0</v>
      </c>
      <c r="N316" s="422">
        <f t="shared" si="145"/>
        <v>0</v>
      </c>
      <c r="O316" s="539">
        <f t="shared" si="145"/>
        <v>0</v>
      </c>
      <c r="P316" s="377">
        <f t="shared" si="145"/>
        <v>0</v>
      </c>
      <c r="Q316" s="364">
        <f t="shared" si="145"/>
        <v>0</v>
      </c>
      <c r="R316" s="524"/>
    </row>
    <row r="317" spans="1:21" s="536" customFormat="1" ht="12.75" customHeight="1" thickBot="1">
      <c r="A317" s="587" t="s">
        <v>42</v>
      </c>
      <c r="B317" s="887"/>
      <c r="C317" s="1379" t="s">
        <v>1118</v>
      </c>
      <c r="D317" s="1380"/>
      <c r="E317" s="1380"/>
      <c r="F317" s="1381"/>
      <c r="G317" s="541">
        <f t="shared" ref="G317:Q317" si="146">+G312+G314+G316</f>
        <v>73861</v>
      </c>
      <c r="H317" s="579">
        <f t="shared" si="146"/>
        <v>73861</v>
      </c>
      <c r="I317" s="542">
        <f t="shared" si="146"/>
        <v>54370</v>
      </c>
      <c r="J317" s="543">
        <f t="shared" si="146"/>
        <v>10571</v>
      </c>
      <c r="K317" s="543">
        <f t="shared" si="146"/>
        <v>8920</v>
      </c>
      <c r="L317" s="543">
        <f t="shared" si="146"/>
        <v>0</v>
      </c>
      <c r="M317" s="544">
        <f t="shared" si="146"/>
        <v>0</v>
      </c>
      <c r="N317" s="580">
        <f t="shared" si="146"/>
        <v>0</v>
      </c>
      <c r="O317" s="542">
        <f t="shared" si="146"/>
        <v>0</v>
      </c>
      <c r="P317" s="543">
        <f t="shared" si="146"/>
        <v>0</v>
      </c>
      <c r="Q317" s="544">
        <f t="shared" si="146"/>
        <v>0</v>
      </c>
      <c r="R317" s="859"/>
      <c r="S317" s="521"/>
      <c r="T317" s="521"/>
      <c r="U317" s="521"/>
    </row>
    <row r="318" spans="1:21" ht="12.75" thickBot="1">
      <c r="A318" s="592"/>
      <c r="B318" s="891"/>
      <c r="C318" s="989"/>
      <c r="D318" s="583"/>
      <c r="E318" s="984"/>
      <c r="F318" s="561"/>
      <c r="G318" s="562"/>
      <c r="H318" s="430"/>
      <c r="I318" s="533"/>
      <c r="J318" s="532"/>
      <c r="K318" s="532"/>
      <c r="L318" s="532"/>
      <c r="M318" s="453"/>
      <c r="N318" s="430"/>
      <c r="O318" s="533"/>
      <c r="P318" s="532"/>
      <c r="Q318" s="453"/>
      <c r="R318" s="523"/>
      <c r="S318" s="521"/>
      <c r="T318" s="521"/>
      <c r="U318" s="521"/>
    </row>
    <row r="319" spans="1:21" s="521" customFormat="1" ht="12.75" customHeight="1" thickBot="1">
      <c r="A319" s="587" t="s">
        <v>41</v>
      </c>
      <c r="B319" s="887"/>
      <c r="C319" s="1379" t="s">
        <v>903</v>
      </c>
      <c r="D319" s="1380"/>
      <c r="E319" s="1380"/>
      <c r="F319" s="1381"/>
      <c r="G319" s="563">
        <f>+G251+G271+G284+G296+G305+G317</f>
        <v>4596548</v>
      </c>
      <c r="H319" s="564">
        <f t="shared" ref="H319:Q319" si="147">+H251+H271+H284+H296+H305+H317</f>
        <v>4110574</v>
      </c>
      <c r="I319" s="565">
        <f t="shared" si="147"/>
        <v>655870</v>
      </c>
      <c r="J319" s="566">
        <f t="shared" si="147"/>
        <v>131505</v>
      </c>
      <c r="K319" s="566">
        <f t="shared" si="147"/>
        <v>391454</v>
      </c>
      <c r="L319" s="566">
        <f t="shared" si="147"/>
        <v>57543</v>
      </c>
      <c r="M319" s="564">
        <f t="shared" si="147"/>
        <v>2874202</v>
      </c>
      <c r="N319" s="564">
        <f t="shared" si="147"/>
        <v>485974</v>
      </c>
      <c r="O319" s="565">
        <f t="shared" si="147"/>
        <v>466298</v>
      </c>
      <c r="P319" s="566">
        <f t="shared" si="147"/>
        <v>19676</v>
      </c>
      <c r="Q319" s="564">
        <f t="shared" si="147"/>
        <v>0</v>
      </c>
      <c r="R319" s="866"/>
    </row>
    <row r="321" spans="1:17" hidden="1">
      <c r="A321" s="306"/>
      <c r="B321" s="879"/>
      <c r="C321" s="981"/>
      <c r="D321" s="306"/>
      <c r="G321" s="306"/>
      <c r="H321" s="306"/>
      <c r="I321" s="306">
        <f>+'1.mell._Össz_Mérleg2019'!C11</f>
        <v>962806</v>
      </c>
      <c r="J321" s="306">
        <f>+'1.mell._Össz_Mérleg2019'!C25</f>
        <v>384050</v>
      </c>
      <c r="K321" s="306">
        <f>+'1.mell._Össz_Mérleg2019'!C32</f>
        <v>132543</v>
      </c>
      <c r="L321" s="306">
        <f>+'1.mell._Össz_Mérleg2019'!C44</f>
        <v>5800</v>
      </c>
      <c r="N321" s="306">
        <f>+'1.mell._Össz_Mérleg2019'!C51</f>
        <v>377399</v>
      </c>
      <c r="O321" s="306">
        <f>+'1.mell._Össz_Mérleg2019'!C58</f>
        <v>10350</v>
      </c>
      <c r="P321" s="306">
        <f>+'1.mell._Össz_Mérleg2019'!C64</f>
        <v>1500</v>
      </c>
    </row>
    <row r="322" spans="1:17" hidden="1">
      <c r="A322" s="306"/>
      <c r="B322" s="879"/>
      <c r="C322" s="981"/>
      <c r="D322" s="306"/>
      <c r="G322" s="306"/>
      <c r="H322" s="306"/>
      <c r="I322" s="306">
        <f>+I158-I321</f>
        <v>0</v>
      </c>
      <c r="J322" s="306">
        <f>+J158-J321</f>
        <v>0</v>
      </c>
      <c r="K322" s="306">
        <f>+K158-K321</f>
        <v>0</v>
      </c>
      <c r="L322" s="306">
        <f>+L158-L321</f>
        <v>0</v>
      </c>
      <c r="M322" s="306"/>
      <c r="N322" s="306">
        <f>+N158-N321</f>
        <v>0</v>
      </c>
      <c r="O322" s="306">
        <f>+O158-O321</f>
        <v>0</v>
      </c>
      <c r="P322" s="306">
        <f>+P158-P321</f>
        <v>0</v>
      </c>
    </row>
    <row r="323" spans="1:17" hidden="1">
      <c r="A323" s="306"/>
      <c r="B323" s="879"/>
      <c r="C323" s="981"/>
      <c r="D323" s="306"/>
      <c r="G323" s="306"/>
      <c r="H323" s="306"/>
    </row>
    <row r="324" spans="1:17" hidden="1">
      <c r="A324" s="306"/>
      <c r="B324" s="879"/>
      <c r="C324" s="981"/>
      <c r="D324" s="306"/>
      <c r="G324" s="306"/>
      <c r="H324" s="306"/>
      <c r="I324" s="306">
        <f>+'1.mell._Össz_Mérleg2019'!C110</f>
        <v>655870</v>
      </c>
      <c r="J324" s="306">
        <f>+'1.mell._Össz_Mérleg2019'!C114</f>
        <v>131505</v>
      </c>
      <c r="K324" s="306">
        <f>+'1.mell._Össz_Mérleg2019'!C116</f>
        <v>391454</v>
      </c>
      <c r="L324" s="306">
        <f>+'1.mell._Össz_Mérleg2019'!C123</f>
        <v>57543</v>
      </c>
      <c r="M324" s="306">
        <f>+'1.mell._Össz_Mérleg2019'!C132</f>
        <v>2874202</v>
      </c>
      <c r="O324" s="306">
        <f>+'1.mell._Össz_Mérleg2019'!C150</f>
        <v>466298</v>
      </c>
      <c r="P324" s="306">
        <f>+'1.mell._Össz_Mérleg2019'!C159</f>
        <v>19676</v>
      </c>
      <c r="Q324" s="306">
        <f>+'1.mell._Össz_Mérleg2019'!C165</f>
        <v>0</v>
      </c>
    </row>
    <row r="325" spans="1:17" ht="11.25" hidden="1" customHeight="1">
      <c r="A325" s="306"/>
      <c r="B325" s="879"/>
      <c r="C325" s="981"/>
      <c r="D325" s="306"/>
      <c r="G325" s="306"/>
      <c r="H325" s="306"/>
      <c r="I325" s="306">
        <f>+I319-I324</f>
        <v>0</v>
      </c>
      <c r="J325" s="306">
        <f>+J319-J324</f>
        <v>0</v>
      </c>
      <c r="K325" s="306">
        <f>+K319-K324</f>
        <v>0</v>
      </c>
      <c r="L325" s="306">
        <f>+L319-L324</f>
        <v>0</v>
      </c>
      <c r="M325" s="306">
        <f>+M319-M324</f>
        <v>0</v>
      </c>
      <c r="O325" s="306">
        <f>+O319-O324</f>
        <v>0</v>
      </c>
      <c r="P325" s="306">
        <f>+P319-P324</f>
        <v>0</v>
      </c>
      <c r="Q325" s="306">
        <f>+Q319-Q324</f>
        <v>0</v>
      </c>
    </row>
  </sheetData>
  <mergeCells count="74">
    <mergeCell ref="C158:F158"/>
    <mergeCell ref="B5:B6"/>
    <mergeCell ref="B166:B167"/>
    <mergeCell ref="C291:F291"/>
    <mergeCell ref="C258:F258"/>
    <mergeCell ref="C262:F262"/>
    <mergeCell ref="C270:F270"/>
    <mergeCell ref="A164:Q164"/>
    <mergeCell ref="A166:A167"/>
    <mergeCell ref="E166:E167"/>
    <mergeCell ref="C241:F241"/>
    <mergeCell ref="C248:F248"/>
    <mergeCell ref="C250:F250"/>
    <mergeCell ref="C151:F151"/>
    <mergeCell ref="C153:F153"/>
    <mergeCell ref="C155:F155"/>
    <mergeCell ref="C319:F319"/>
    <mergeCell ref="C271:F271"/>
    <mergeCell ref="C279:F279"/>
    <mergeCell ref="C281:F281"/>
    <mergeCell ref="C283:F283"/>
    <mergeCell ref="C284:F284"/>
    <mergeCell ref="C316:F316"/>
    <mergeCell ref="C317:F317"/>
    <mergeCell ref="C314:F314"/>
    <mergeCell ref="C295:F295"/>
    <mergeCell ref="C296:F296"/>
    <mergeCell ref="C156:F156"/>
    <mergeCell ref="C312:F312"/>
    <mergeCell ref="A3:Q3"/>
    <mergeCell ref="H166:H167"/>
    <mergeCell ref="N166:N167"/>
    <mergeCell ref="C166:C167"/>
    <mergeCell ref="D166:D167"/>
    <mergeCell ref="I166:M166"/>
    <mergeCell ref="C80:F80"/>
    <mergeCell ref="C87:F87"/>
    <mergeCell ref="C89:F89"/>
    <mergeCell ref="F166:F167"/>
    <mergeCell ref="G166:G167"/>
    <mergeCell ref="C110:F110"/>
    <mergeCell ref="C118:F118"/>
    <mergeCell ref="C120:F120"/>
    <mergeCell ref="C122:F122"/>
    <mergeCell ref="C123:F123"/>
    <mergeCell ref="G5:G6"/>
    <mergeCell ref="I5:L5"/>
    <mergeCell ref="N5:P5"/>
    <mergeCell ref="C5:C6"/>
    <mergeCell ref="D5:D6"/>
    <mergeCell ref="H5:H6"/>
    <mergeCell ref="M5:M6"/>
    <mergeCell ref="O166:Q166"/>
    <mergeCell ref="C299:F299"/>
    <mergeCell ref="C302:F302"/>
    <mergeCell ref="C304:F304"/>
    <mergeCell ref="C305:F305"/>
    <mergeCell ref="C293:F293"/>
    <mergeCell ref="A5:A6"/>
    <mergeCell ref="F5:F6"/>
    <mergeCell ref="E5:E6"/>
    <mergeCell ref="C251:F251"/>
    <mergeCell ref="C97:F97"/>
    <mergeCell ref="C144:F144"/>
    <mergeCell ref="C101:F101"/>
    <mergeCell ref="C90:F90"/>
    <mergeCell ref="C109:F109"/>
    <mergeCell ref="C130:F130"/>
    <mergeCell ref="C132:F132"/>
    <mergeCell ref="C134:F134"/>
    <mergeCell ref="C143:F143"/>
    <mergeCell ref="C141:F141"/>
    <mergeCell ref="C135:F135"/>
    <mergeCell ref="C138:F138"/>
  </mergeCells>
  <printOptions horizontalCentered="1"/>
  <pageMargins left="0.39370078740157483" right="0.39370078740157483" top="0.39370078740157483" bottom="0.39370078740157483" header="0.19685039370078741" footer="0.19685039370078741"/>
  <pageSetup paperSize="8" scale="35" fitToHeight="2" orientation="landscape" r:id="rId1"/>
  <headerFooter alignWithMargins="0">
    <oddHeader xml:space="preserve">&amp;C&amp;"Times New Roman CE,Félkövér"&amp;14 13. melléklet - &amp;P. oldal
&amp;R&amp;"Times New Roman CE,Dőlt"&amp;12
</oddHeader>
  </headerFooter>
  <rowBreaks count="1" manualBreakCount="1">
    <brk id="16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7">
    <tabColor rgb="FF00B0F0"/>
  </sheetPr>
  <dimension ref="A1:AO75"/>
  <sheetViews>
    <sheetView zoomScaleNormal="100" workbookViewId="0"/>
  </sheetViews>
  <sheetFormatPr defaultColWidth="13" defaultRowHeight="12"/>
  <cols>
    <col min="1" max="1" width="5" style="594" customWidth="1"/>
    <col min="2" max="2" width="74.140625" style="257" bestFit="1" customWidth="1"/>
    <col min="3" max="9" width="11.5703125" style="257" customWidth="1"/>
    <col min="10" max="10" width="11.5703125" style="593" customWidth="1"/>
    <col min="11" max="18" width="11.5703125" style="257" customWidth="1"/>
    <col min="19" max="19" width="11.5703125" style="593" customWidth="1"/>
    <col min="20" max="21" width="11.5703125" style="257" customWidth="1"/>
    <col min="22" max="22" width="11.5703125" style="593" customWidth="1"/>
    <col min="23" max="23" width="6.28515625" style="257" bestFit="1" customWidth="1"/>
    <col min="24" max="25" width="9.28515625" style="257" hidden="1" customWidth="1"/>
    <col min="26" max="26" width="3.42578125" style="257" customWidth="1"/>
    <col min="27" max="27" width="13" style="257"/>
    <col min="28" max="28" width="10.28515625" style="257" bestFit="1" customWidth="1"/>
    <col min="29" max="29" width="9.28515625" style="257" customWidth="1"/>
    <col min="30" max="16384" width="13" style="257"/>
  </cols>
  <sheetData>
    <row r="1" spans="1:41" s="704" customFormat="1" ht="15.75">
      <c r="A1" s="703"/>
      <c r="J1" s="705"/>
      <c r="S1" s="705"/>
      <c r="V1" s="179" t="s">
        <v>600</v>
      </c>
    </row>
    <row r="2" spans="1:41" s="704" customFormat="1" ht="15.75">
      <c r="A2" s="703"/>
      <c r="J2" s="705"/>
      <c r="S2" s="705"/>
      <c r="V2" s="179"/>
    </row>
    <row r="3" spans="1:41" s="705" customFormat="1" ht="15.75">
      <c r="A3" s="1009"/>
      <c r="B3" s="1517" t="s">
        <v>837</v>
      </c>
      <c r="C3" s="1517"/>
      <c r="D3" s="1517"/>
      <c r="E3" s="1517"/>
      <c r="F3" s="1517"/>
      <c r="G3" s="1517"/>
      <c r="H3" s="1517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</row>
    <row r="4" spans="1:41" ht="12.75" thickBot="1">
      <c r="V4" s="234" t="s">
        <v>458</v>
      </c>
    </row>
    <row r="5" spans="1:41" s="596" customFormat="1" ht="72.75" thickBot="1">
      <c r="A5" s="938" t="s">
        <v>17</v>
      </c>
      <c r="B5" s="939" t="s">
        <v>1347</v>
      </c>
      <c r="C5" s="940" t="s">
        <v>771</v>
      </c>
      <c r="D5" s="376" t="s">
        <v>526</v>
      </c>
      <c r="E5" s="376" t="s">
        <v>772</v>
      </c>
      <c r="F5" s="376" t="s">
        <v>1170</v>
      </c>
      <c r="G5" s="376" t="s">
        <v>533</v>
      </c>
      <c r="H5" s="376" t="s">
        <v>534</v>
      </c>
      <c r="I5" s="375" t="s">
        <v>1171</v>
      </c>
      <c r="J5" s="307" t="s">
        <v>525</v>
      </c>
      <c r="K5" s="940" t="s">
        <v>46</v>
      </c>
      <c r="L5" s="376" t="s">
        <v>447</v>
      </c>
      <c r="M5" s="376" t="s">
        <v>448</v>
      </c>
      <c r="N5" s="376" t="s">
        <v>774</v>
      </c>
      <c r="O5" s="376" t="s">
        <v>1172</v>
      </c>
      <c r="P5" s="376" t="s">
        <v>451</v>
      </c>
      <c r="Q5" s="376" t="s">
        <v>452</v>
      </c>
      <c r="R5" s="301" t="s">
        <v>1173</v>
      </c>
      <c r="S5" s="307" t="s">
        <v>528</v>
      </c>
      <c r="T5" s="941" t="s">
        <v>764</v>
      </c>
      <c r="U5" s="1356" t="s">
        <v>1262</v>
      </c>
      <c r="V5" s="595" t="s">
        <v>765</v>
      </c>
      <c r="AA5" s="596" t="s">
        <v>1083</v>
      </c>
      <c r="AB5" s="596" t="s">
        <v>1058</v>
      </c>
      <c r="AC5" s="596" t="s">
        <v>1260</v>
      </c>
      <c r="AD5" s="596" t="s">
        <v>1178</v>
      </c>
      <c r="AE5" s="596" t="s">
        <v>1177</v>
      </c>
      <c r="AF5" s="596" t="s">
        <v>1176</v>
      </c>
      <c r="AG5" s="596" t="s">
        <v>1180</v>
      </c>
      <c r="AH5" s="596" t="s">
        <v>1181</v>
      </c>
      <c r="AI5" s="596" t="s">
        <v>1261</v>
      </c>
    </row>
    <row r="6" spans="1:41">
      <c r="A6" s="876">
        <v>1</v>
      </c>
      <c r="B6" s="781" t="s">
        <v>415</v>
      </c>
      <c r="C6" s="598">
        <f>+SUMIF('13.mell_ÖNKfeladatok2019'!$B$5:$B$158,'14.mell_Önk kiegészítés2019'!$A6,'13.mell_ÖNKfeladatok2019'!I$5:I$158)</f>
        <v>0</v>
      </c>
      <c r="D6" s="598">
        <f>+SUMIF('13.mell_ÖNKfeladatok2019'!$B$5:$B$158,'14.mell_Önk kiegészítés2019'!$A6,'13.mell_ÖNKfeladatok2019'!J$5:J$158)</f>
        <v>0</v>
      </c>
      <c r="E6" s="598">
        <f>+SUMIF('13.mell_ÖNKfeladatok2019'!$B$5:$B$158,'14.mell_Önk kiegészítés2019'!$A6,'13.mell_ÖNKfeladatok2019'!K$5:K$158)</f>
        <v>0</v>
      </c>
      <c r="F6" s="598">
        <f>+SUMIF('13.mell_ÖNKfeladatok2019'!$B$5:$B$158,'14.mell_Önk kiegészítés2019'!$A6,'13.mell_ÖNKfeladatok2019'!L$5:L$158)</f>
        <v>0</v>
      </c>
      <c r="G6" s="598">
        <f>+SUMIF('13.mell_ÖNKfeladatok2019'!$B$5:$B$158,'14.mell_Önk kiegészítés2019'!$A6,'13.mell_ÖNKfeladatok2019'!N$5:N$158)</f>
        <v>0</v>
      </c>
      <c r="H6" s="598">
        <f>+SUMIF('13.mell_ÖNKfeladatok2019'!$B$5:$B$158,'14.mell_Önk kiegészítés2019'!$A6,'13.mell_ÖNKfeladatok2019'!O$5:O$158)</f>
        <v>0</v>
      </c>
      <c r="I6" s="598">
        <f>+SUMIF('13.mell_ÖNKfeladatok2019'!$B$5:$B$158,'14.mell_Önk kiegészítés2019'!$A6,'13.mell_ÖNKfeladatok2019'!P$5:P$158)</f>
        <v>0</v>
      </c>
      <c r="J6" s="782">
        <f>SUM(C6:I6)</f>
        <v>0</v>
      </c>
      <c r="K6" s="598">
        <f>+SUMIF('13.mell_ÖNKfeladatok2019'!$B$166:$B$319,'14.mell_Önk kiegészítés2019'!$A6,'13.mell_ÖNKfeladatok2019'!I$166:I$319)</f>
        <v>33550</v>
      </c>
      <c r="L6" s="598">
        <f>+SUMIF('13.mell_ÖNKfeladatok2019'!$B$166:$B$319,'14.mell_Önk kiegészítés2019'!$A6,'13.mell_ÖNKfeladatok2019'!J$166:J$319)</f>
        <v>6302</v>
      </c>
      <c r="M6" s="598">
        <f>+SUMIF('13.mell_ÖNKfeladatok2019'!$B$166:$B$319,'14.mell_Önk kiegészítés2019'!$A6,'13.mell_ÖNKfeladatok2019'!K$166:K$319)</f>
        <v>191</v>
      </c>
      <c r="N6" s="598">
        <f>+SUMIF('13.mell_ÖNKfeladatok2019'!$B$166:$B$319,'14.mell_Önk kiegészítés2019'!$A6,'13.mell_ÖNKfeladatok2019'!L$166:L$319)</f>
        <v>0</v>
      </c>
      <c r="O6" s="598">
        <f>+SUMIF('13.mell_ÖNKfeladatok2019'!$B$166:$B$319,'14.mell_Önk kiegészítés2019'!$A6,'13.mell_ÖNKfeladatok2019'!M$166:M$319)</f>
        <v>0</v>
      </c>
      <c r="P6" s="598">
        <f>+SUMIF('13.mell_ÖNKfeladatok2019'!$B$166:$B$319,'14.mell_Önk kiegészítés2019'!$A6,'13.mell_ÖNKfeladatok2019'!O$166:O$319)</f>
        <v>0</v>
      </c>
      <c r="Q6" s="598">
        <f>+SUMIF('13.mell_ÖNKfeladatok2019'!$B$166:$B$319,'14.mell_Önk kiegészítés2019'!$A6,'13.mell_ÖNKfeladatok2019'!P$166:P$319)</f>
        <v>0</v>
      </c>
      <c r="R6" s="598">
        <f>+SUMIF('13.mell_ÖNKfeladatok2019'!$B$166:$B$319,'14.mell_Önk kiegészítés2019'!$A6,'13.mell_ÖNKfeladatok2019'!Q$166:Q$319)</f>
        <v>0</v>
      </c>
      <c r="S6" s="782">
        <f>SUM(K6:R6)</f>
        <v>40043</v>
      </c>
      <c r="T6" s="783">
        <f>S6-J6</f>
        <v>40043</v>
      </c>
      <c r="U6" s="598">
        <f>+ROUND(SUMIF('10.mell_támogatások2019'!$B$6:$B$136,'14.mell_Önk kiegészítés2019'!$A6,'10.mell_támogatások2019'!D$6:D$136)/1000,0)</f>
        <v>1961</v>
      </c>
      <c r="V6" s="784">
        <f>+T6-U6</f>
        <v>38082</v>
      </c>
    </row>
    <row r="7" spans="1:41">
      <c r="A7" s="877">
        <f>+A6+1</f>
        <v>2</v>
      </c>
      <c r="B7" s="597" t="s">
        <v>658</v>
      </c>
      <c r="C7" s="598">
        <f>+SUMIF('13.mell_ÖNKfeladatok2019'!$B$5:$B$158,'14.mell_Önk kiegészítés2019'!$A7,'13.mell_ÖNKfeladatok2019'!I$5:I$158)</f>
        <v>0</v>
      </c>
      <c r="D7" s="598">
        <f>+SUMIF('13.mell_ÖNKfeladatok2019'!$B$5:$B$158,'14.mell_Önk kiegészítés2019'!$A7,'13.mell_ÖNKfeladatok2019'!J$5:J$158)</f>
        <v>0</v>
      </c>
      <c r="E7" s="598">
        <f>+SUMIF('13.mell_ÖNKfeladatok2019'!$B$5:$B$158,'14.mell_Önk kiegészítés2019'!$A7,'13.mell_ÖNKfeladatok2019'!K$5:K$158)</f>
        <v>1500</v>
      </c>
      <c r="F7" s="598">
        <f>+SUMIF('13.mell_ÖNKfeladatok2019'!$B$5:$B$158,'14.mell_Önk kiegészítés2019'!$A7,'13.mell_ÖNKfeladatok2019'!L$5:L$158)</f>
        <v>0</v>
      </c>
      <c r="G7" s="598">
        <f>+SUMIF('13.mell_ÖNKfeladatok2019'!$B$5:$B$158,'14.mell_Önk kiegészítés2019'!$A7,'13.mell_ÖNKfeladatok2019'!N$5:N$158)</f>
        <v>0</v>
      </c>
      <c r="H7" s="598">
        <f>+SUMIF('13.mell_ÖNKfeladatok2019'!$B$5:$B$158,'14.mell_Önk kiegészítés2019'!$A7,'13.mell_ÖNKfeladatok2019'!O$5:O$158)</f>
        <v>0</v>
      </c>
      <c r="I7" s="598">
        <f>+SUMIF('13.mell_ÖNKfeladatok2019'!$B$5:$B$158,'14.mell_Önk kiegészítés2019'!$A7,'13.mell_ÖNKfeladatok2019'!P$5:P$158)</f>
        <v>0</v>
      </c>
      <c r="J7" s="641">
        <f>SUM(C7:I7)</f>
        <v>1500</v>
      </c>
      <c r="K7" s="598">
        <f>+SUMIF('13.mell_ÖNKfeladatok2019'!$B$166:$B$319,'14.mell_Önk kiegészítés2019'!$A7,'13.mell_ÖNKfeladatok2019'!I$166:I$319)</f>
        <v>0</v>
      </c>
      <c r="L7" s="598">
        <f>+SUMIF('13.mell_ÖNKfeladatok2019'!$B$166:$B$319,'14.mell_Önk kiegészítés2019'!$A7,'13.mell_ÖNKfeladatok2019'!J$166:J$319)</f>
        <v>0</v>
      </c>
      <c r="M7" s="598">
        <f>+SUMIF('13.mell_ÖNKfeladatok2019'!$B$166:$B$319,'14.mell_Önk kiegészítés2019'!$A7,'13.mell_ÖNKfeladatok2019'!K$166:K$319)</f>
        <v>7000</v>
      </c>
      <c r="N7" s="598">
        <f>+SUMIF('13.mell_ÖNKfeladatok2019'!$B$166:$B$319,'14.mell_Önk kiegészítés2019'!$A7,'13.mell_ÖNKfeladatok2019'!L$166:L$319)</f>
        <v>0</v>
      </c>
      <c r="O7" s="598">
        <f>+SUMIF('13.mell_ÖNKfeladatok2019'!$B$166:$B$319,'14.mell_Önk kiegészítés2019'!$A7,'13.mell_ÖNKfeladatok2019'!M$166:M$319)</f>
        <v>0</v>
      </c>
      <c r="P7" s="598">
        <f>+SUMIF('13.mell_ÖNKfeladatok2019'!$B$166:$B$319,'14.mell_Önk kiegészítés2019'!$A7,'13.mell_ÖNKfeladatok2019'!O$166:O$319)</f>
        <v>0</v>
      </c>
      <c r="Q7" s="598">
        <f>+SUMIF('13.mell_ÖNKfeladatok2019'!$B$166:$B$319,'14.mell_Önk kiegészítés2019'!$A7,'13.mell_ÖNKfeladatok2019'!P$166:P$319)</f>
        <v>0</v>
      </c>
      <c r="R7" s="598">
        <f>+SUMIF('13.mell_ÖNKfeladatok2019'!$B$166:$B$319,'14.mell_Önk kiegészítés2019'!$A7,'13.mell_ÖNKfeladatok2019'!Q$166:Q$319)</f>
        <v>0</v>
      </c>
      <c r="S7" s="641">
        <f t="shared" ref="S7:S13" si="0">SUM(K7:R7)</f>
        <v>7000</v>
      </c>
      <c r="T7" s="599">
        <f>S7-J7</f>
        <v>5500</v>
      </c>
      <c r="U7" s="1357">
        <f>+ROUND(SUMIF('10.mell_támogatások2019'!$B$6:$B$136,'14.mell_Önk kiegészítés2019'!$A7,'10.mell_támogatások2019'!D$6:D$136)/1000,0)</f>
        <v>3460</v>
      </c>
      <c r="V7" s="600">
        <f t="shared" ref="V7:V13" si="1">+T7-U7</f>
        <v>2040</v>
      </c>
    </row>
    <row r="8" spans="1:41">
      <c r="A8" s="877">
        <f>+A7+1</f>
        <v>3</v>
      </c>
      <c r="B8" s="601" t="s">
        <v>653</v>
      </c>
      <c r="C8" s="602">
        <f>+SUMIF('13.mell_ÖNKfeladatok2019'!$B$5:$B$158,'14.mell_Önk kiegészítés2019'!$A8,'13.mell_ÖNKfeladatok2019'!I$5:I$158)</f>
        <v>0</v>
      </c>
      <c r="D8" s="602">
        <f>+SUMIF('13.mell_ÖNKfeladatok2019'!$B$5:$B$158,'14.mell_Önk kiegészítés2019'!$A8,'13.mell_ÖNKfeladatok2019'!J$5:J$158)</f>
        <v>0</v>
      </c>
      <c r="E8" s="602">
        <f>+SUMIF('13.mell_ÖNKfeladatok2019'!$B$5:$B$158,'14.mell_Önk kiegészítés2019'!$A8,'13.mell_ÖNKfeladatok2019'!K$5:K$158)</f>
        <v>0</v>
      </c>
      <c r="F8" s="602">
        <f>+SUMIF('13.mell_ÖNKfeladatok2019'!$B$5:$B$158,'14.mell_Önk kiegészítés2019'!$A8,'13.mell_ÖNKfeladatok2019'!L$5:L$158)</f>
        <v>0</v>
      </c>
      <c r="G8" s="598">
        <f>+SUMIF('13.mell_ÖNKfeladatok2019'!$B$5:$B$158,'14.mell_Önk kiegészítés2019'!$A8,'13.mell_ÖNKfeladatok2019'!N$5:N$158)</f>
        <v>0</v>
      </c>
      <c r="H8" s="602">
        <f>+SUMIF('13.mell_ÖNKfeladatok2019'!$B$5:$B$158,'14.mell_Önk kiegészítés2019'!$A8,'13.mell_ÖNKfeladatok2019'!O$5:O$158)</f>
        <v>0</v>
      </c>
      <c r="I8" s="602">
        <f>+SUMIF('13.mell_ÖNKfeladatok2019'!$B$5:$B$158,'14.mell_Önk kiegészítés2019'!$A8,'13.mell_ÖNKfeladatok2019'!P$5:P$158)</f>
        <v>0</v>
      </c>
      <c r="J8" s="642">
        <f t="shared" ref="J8:J18" si="2">SUM(C8:I8)</f>
        <v>0</v>
      </c>
      <c r="K8" s="602">
        <f>+SUMIF('13.mell_ÖNKfeladatok2019'!$B$166:$B$319,'14.mell_Önk kiegészítés2019'!$A8,'13.mell_ÖNKfeladatok2019'!I$166:I$319)</f>
        <v>0</v>
      </c>
      <c r="L8" s="602">
        <f>+SUMIF('13.mell_ÖNKfeladatok2019'!$B$166:$B$319,'14.mell_Önk kiegészítés2019'!$A8,'13.mell_ÖNKfeladatok2019'!J$166:J$319)</f>
        <v>0</v>
      </c>
      <c r="M8" s="602">
        <f>+SUMIF('13.mell_ÖNKfeladatok2019'!$B$166:$B$319,'14.mell_Önk kiegészítés2019'!$A8,'13.mell_ÖNKfeladatok2019'!K$166:K$319)</f>
        <v>25000</v>
      </c>
      <c r="N8" s="602">
        <f>+SUMIF('13.mell_ÖNKfeladatok2019'!$B$166:$B$319,'14.mell_Önk kiegészítés2019'!$A8,'13.mell_ÖNKfeladatok2019'!L$166:L$319)</f>
        <v>0</v>
      </c>
      <c r="O8" s="602">
        <f>+SUMIF('13.mell_ÖNKfeladatok2019'!$B$166:$B$319,'14.mell_Önk kiegészítés2019'!$A8,'13.mell_ÖNKfeladatok2019'!M$166:M$319)</f>
        <v>0</v>
      </c>
      <c r="P8" s="602">
        <f>+SUMIF('13.mell_ÖNKfeladatok2019'!$B$166:$B$319,'14.mell_Önk kiegészítés2019'!$A8,'13.mell_ÖNKfeladatok2019'!O$166:O$319)</f>
        <v>2000</v>
      </c>
      <c r="Q8" s="602">
        <f>+SUMIF('13.mell_ÖNKfeladatok2019'!$B$166:$B$319,'14.mell_Önk kiegészítés2019'!$A8,'13.mell_ÖNKfeladatok2019'!P$166:P$319)</f>
        <v>0</v>
      </c>
      <c r="R8" s="602">
        <f>+SUMIF('13.mell_ÖNKfeladatok2019'!$B$166:$B$319,'14.mell_Önk kiegészítés2019'!$A8,'13.mell_ÖNKfeladatok2019'!Q$166:Q$319)</f>
        <v>0</v>
      </c>
      <c r="S8" s="642">
        <f t="shared" si="0"/>
        <v>27000</v>
      </c>
      <c r="T8" s="603">
        <f t="shared" ref="T8:T18" si="3">S8-J8</f>
        <v>27000</v>
      </c>
      <c r="U8" s="1357">
        <f>+ROUND(SUMIF('10.mell_támogatások2019'!$B$6:$B$136,'14.mell_Önk kiegészítés2019'!$A8,'10.mell_támogatások2019'!D$6:D$136)/1000,0)</f>
        <v>26600</v>
      </c>
      <c r="V8" s="604">
        <f t="shared" si="1"/>
        <v>400</v>
      </c>
    </row>
    <row r="9" spans="1:41">
      <c r="A9" s="877">
        <f>+A8+1</f>
        <v>4</v>
      </c>
      <c r="B9" s="601" t="s">
        <v>655</v>
      </c>
      <c r="C9" s="602">
        <f>+SUMIF('13.mell_ÖNKfeladatok2019'!$B$5:$B$158,'14.mell_Önk kiegészítés2019'!$A9,'13.mell_ÖNKfeladatok2019'!I$5:I$158)</f>
        <v>0</v>
      </c>
      <c r="D9" s="602">
        <f>+SUMIF('13.mell_ÖNKfeladatok2019'!$B$5:$B$158,'14.mell_Önk kiegészítés2019'!$A9,'13.mell_ÖNKfeladatok2019'!J$5:J$158)</f>
        <v>0</v>
      </c>
      <c r="E9" s="602">
        <f>+SUMIF('13.mell_ÖNKfeladatok2019'!$B$5:$B$158,'14.mell_Önk kiegészítés2019'!$A9,'13.mell_ÖNKfeladatok2019'!K$5:K$158)</f>
        <v>0</v>
      </c>
      <c r="F9" s="602">
        <f>+SUMIF('13.mell_ÖNKfeladatok2019'!$B$5:$B$158,'14.mell_Önk kiegészítés2019'!$A9,'13.mell_ÖNKfeladatok2019'!L$5:L$158)</f>
        <v>0</v>
      </c>
      <c r="G9" s="598">
        <f>+SUMIF('13.mell_ÖNKfeladatok2019'!$B$5:$B$158,'14.mell_Önk kiegészítés2019'!$A9,'13.mell_ÖNKfeladatok2019'!N$5:N$158)</f>
        <v>0</v>
      </c>
      <c r="H9" s="602">
        <f>+SUMIF('13.mell_ÖNKfeladatok2019'!$B$5:$B$158,'14.mell_Önk kiegészítés2019'!$A9,'13.mell_ÖNKfeladatok2019'!O$5:O$158)</f>
        <v>0</v>
      </c>
      <c r="I9" s="602">
        <f>+SUMIF('13.mell_ÖNKfeladatok2019'!$B$5:$B$158,'14.mell_Önk kiegészítés2019'!$A9,'13.mell_ÖNKfeladatok2019'!P$5:P$158)</f>
        <v>0</v>
      </c>
      <c r="J9" s="642">
        <f t="shared" si="2"/>
        <v>0</v>
      </c>
      <c r="K9" s="602">
        <f>+SUMIF('13.mell_ÖNKfeladatok2019'!$B$166:$B$319,'14.mell_Önk kiegészítés2019'!$A9,'13.mell_ÖNKfeladatok2019'!I$166:I$319)</f>
        <v>0</v>
      </c>
      <c r="L9" s="602">
        <f>+SUMIF('13.mell_ÖNKfeladatok2019'!$B$166:$B$319,'14.mell_Önk kiegészítés2019'!$A9,'13.mell_ÖNKfeladatok2019'!J$166:J$319)</f>
        <v>0</v>
      </c>
      <c r="M9" s="602">
        <f>+SUMIF('13.mell_ÖNKfeladatok2019'!$B$166:$B$319,'14.mell_Önk kiegészítés2019'!$A9,'13.mell_ÖNKfeladatok2019'!K$166:K$319)</f>
        <v>10792</v>
      </c>
      <c r="N9" s="602">
        <f>+SUMIF('13.mell_ÖNKfeladatok2019'!$B$166:$B$319,'14.mell_Önk kiegészítés2019'!$A9,'13.mell_ÖNKfeladatok2019'!L$166:L$319)</f>
        <v>0</v>
      </c>
      <c r="O9" s="602">
        <f>+SUMIF('13.mell_ÖNKfeladatok2019'!$B$166:$B$319,'14.mell_Önk kiegészítés2019'!$A9,'13.mell_ÖNKfeladatok2019'!M$166:M$319)</f>
        <v>0</v>
      </c>
      <c r="P9" s="602">
        <f>+SUMIF('13.mell_ÖNKfeladatok2019'!$B$166:$B$319,'14.mell_Önk kiegészítés2019'!$A9,'13.mell_ÖNKfeladatok2019'!O$166:O$319)</f>
        <v>0</v>
      </c>
      <c r="Q9" s="602">
        <f>+SUMIF('13.mell_ÖNKfeladatok2019'!$B$166:$B$319,'14.mell_Önk kiegészítés2019'!$A9,'13.mell_ÖNKfeladatok2019'!P$166:P$319)</f>
        <v>0</v>
      </c>
      <c r="R9" s="602">
        <f>+SUMIF('13.mell_ÖNKfeladatok2019'!$B$166:$B$319,'14.mell_Önk kiegészítés2019'!$A9,'13.mell_ÖNKfeladatok2019'!Q$166:Q$319)</f>
        <v>0</v>
      </c>
      <c r="S9" s="642">
        <f t="shared" si="0"/>
        <v>10792</v>
      </c>
      <c r="T9" s="603">
        <f t="shared" si="3"/>
        <v>10792</v>
      </c>
      <c r="U9" s="1357">
        <f>+ROUND(SUMIF('10.mell_támogatások2019'!$B$6:$B$136,'14.mell_Önk kiegészítés2019'!$A9,'10.mell_támogatások2019'!D$6:D$136)/1000,0)</f>
        <v>13509</v>
      </c>
      <c r="V9" s="604">
        <f t="shared" si="1"/>
        <v>-2717</v>
      </c>
    </row>
    <row r="10" spans="1:41">
      <c r="A10" s="877">
        <f>+A9+1</f>
        <v>5</v>
      </c>
      <c r="B10" s="601" t="s">
        <v>652</v>
      </c>
      <c r="C10" s="602">
        <f>+SUMIF('13.mell_ÖNKfeladatok2019'!$B$5:$B$158,'14.mell_Önk kiegészítés2019'!$A10,'13.mell_ÖNKfeladatok2019'!I$5:I$158)</f>
        <v>0</v>
      </c>
      <c r="D10" s="602">
        <f>+SUMIF('13.mell_ÖNKfeladatok2019'!$B$5:$B$158,'14.mell_Önk kiegészítés2019'!$A10,'13.mell_ÖNKfeladatok2019'!J$5:J$158)</f>
        <v>0</v>
      </c>
      <c r="E10" s="602">
        <f>+SUMIF('13.mell_ÖNKfeladatok2019'!$B$5:$B$158,'14.mell_Önk kiegészítés2019'!$A10,'13.mell_ÖNKfeladatok2019'!K$5:K$158)</f>
        <v>0</v>
      </c>
      <c r="F10" s="602">
        <f>+SUMIF('13.mell_ÖNKfeladatok2019'!$B$5:$B$158,'14.mell_Önk kiegészítés2019'!$A10,'13.mell_ÖNKfeladatok2019'!L$5:L$158)</f>
        <v>0</v>
      </c>
      <c r="G10" s="598">
        <f>+SUMIF('13.mell_ÖNKfeladatok2019'!$B$5:$B$158,'14.mell_Önk kiegészítés2019'!$A10,'13.mell_ÖNKfeladatok2019'!N$5:N$158)</f>
        <v>0</v>
      </c>
      <c r="H10" s="602">
        <f>+SUMIF('13.mell_ÖNKfeladatok2019'!$B$5:$B$158,'14.mell_Önk kiegészítés2019'!$A10,'13.mell_ÖNKfeladatok2019'!O$5:O$158)</f>
        <v>0</v>
      </c>
      <c r="I10" s="602">
        <f>+SUMIF('13.mell_ÖNKfeladatok2019'!$B$5:$B$158,'14.mell_Önk kiegészítés2019'!$A10,'13.mell_ÖNKfeladatok2019'!P$5:P$158)</f>
        <v>0</v>
      </c>
      <c r="J10" s="642">
        <f>SUM(C10:I10)</f>
        <v>0</v>
      </c>
      <c r="K10" s="602">
        <f>+SUMIF('13.mell_ÖNKfeladatok2019'!$B$166:$B$319,'14.mell_Önk kiegészítés2019'!$A10,'13.mell_ÖNKfeladatok2019'!I$166:I$319)</f>
        <v>0</v>
      </c>
      <c r="L10" s="602">
        <f>+SUMIF('13.mell_ÖNKfeladatok2019'!$B$166:$B$319,'14.mell_Önk kiegészítés2019'!$A10,'13.mell_ÖNKfeladatok2019'!J$166:J$319)</f>
        <v>0</v>
      </c>
      <c r="M10" s="602">
        <f>+SUMIF('13.mell_ÖNKfeladatok2019'!$B$166:$B$319,'14.mell_Önk kiegészítés2019'!$A10,'13.mell_ÖNKfeladatok2019'!K$166:K$319)</f>
        <v>18200</v>
      </c>
      <c r="N10" s="602">
        <f>+SUMIF('13.mell_ÖNKfeladatok2019'!$B$166:$B$319,'14.mell_Önk kiegészítés2019'!$A10,'13.mell_ÖNKfeladatok2019'!L$166:L$319)</f>
        <v>0</v>
      </c>
      <c r="O10" s="602">
        <f>+SUMIF('13.mell_ÖNKfeladatok2019'!$B$166:$B$319,'14.mell_Önk kiegészítés2019'!$A10,'13.mell_ÖNKfeladatok2019'!M$166:M$319)</f>
        <v>0</v>
      </c>
      <c r="P10" s="602">
        <f>+SUMIF('13.mell_ÖNKfeladatok2019'!$B$166:$B$319,'14.mell_Önk kiegészítés2019'!$A10,'13.mell_ÖNKfeladatok2019'!O$166:O$319)</f>
        <v>500</v>
      </c>
      <c r="Q10" s="602">
        <f>+SUMIF('13.mell_ÖNKfeladatok2019'!$B$166:$B$319,'14.mell_Önk kiegészítés2019'!$A10,'13.mell_ÖNKfeladatok2019'!P$166:P$319)</f>
        <v>11000</v>
      </c>
      <c r="R10" s="602">
        <f>+SUMIF('13.mell_ÖNKfeladatok2019'!$B$166:$B$319,'14.mell_Önk kiegészítés2019'!$A10,'13.mell_ÖNKfeladatok2019'!Q$166:Q$319)</f>
        <v>0</v>
      </c>
      <c r="S10" s="642">
        <f>SUM(K10:R10)</f>
        <v>29700</v>
      </c>
      <c r="T10" s="603">
        <f>S10-J10</f>
        <v>29700</v>
      </c>
      <c r="U10" s="1357">
        <f>+ROUND(SUMIF('10.mell_támogatások2019'!$B$6:$B$136,'14.mell_Önk kiegészítés2019'!$A10,'10.mell_támogatások2019'!D$6:D$136)/1000,0)</f>
        <v>14918</v>
      </c>
      <c r="V10" s="604">
        <f>+T10-U10</f>
        <v>14782</v>
      </c>
    </row>
    <row r="11" spans="1:41">
      <c r="A11" s="877">
        <f>+A10+1</f>
        <v>6</v>
      </c>
      <c r="B11" s="601" t="s">
        <v>1166</v>
      </c>
      <c r="C11" s="602">
        <f>+SUMIF('13.mell_ÖNKfeladatok2019'!$B$5:$B$158,'14.mell_Önk kiegészítés2019'!$A11,'13.mell_ÖNKfeladatok2019'!I$5:I$158)</f>
        <v>28786</v>
      </c>
      <c r="D11" s="602">
        <f>+SUMIF('13.mell_ÖNKfeladatok2019'!$B$5:$B$158,'14.mell_Önk kiegészítés2019'!$A11,'13.mell_ÖNKfeladatok2019'!J$5:J$158)</f>
        <v>0</v>
      </c>
      <c r="E11" s="602">
        <f>+SUMIF('13.mell_ÖNKfeladatok2019'!$B$5:$B$158,'14.mell_Önk kiegészítés2019'!$A11,'13.mell_ÖNKfeladatok2019'!K$5:K$158)</f>
        <v>0</v>
      </c>
      <c r="F11" s="602">
        <f>+SUMIF('13.mell_ÖNKfeladatok2019'!$B$5:$B$158,'14.mell_Önk kiegészítés2019'!$A11,'13.mell_ÖNKfeladatok2019'!L$5:L$158)</f>
        <v>0</v>
      </c>
      <c r="G11" s="598">
        <f>+SUMIF('13.mell_ÖNKfeladatok2019'!$B$5:$B$158,'14.mell_Önk kiegészítés2019'!$A11,'13.mell_ÖNKfeladatok2019'!N$5:N$158)</f>
        <v>0</v>
      </c>
      <c r="H11" s="602">
        <f>+SUMIF('13.mell_ÖNKfeladatok2019'!$B$5:$B$158,'14.mell_Önk kiegészítés2019'!$A11,'13.mell_ÖNKfeladatok2019'!O$5:O$158)</f>
        <v>0</v>
      </c>
      <c r="I11" s="602">
        <f>+SUMIF('13.mell_ÖNKfeladatok2019'!$B$5:$B$158,'14.mell_Önk kiegészítés2019'!$A11,'13.mell_ÖNKfeladatok2019'!P$5:P$158)</f>
        <v>0</v>
      </c>
      <c r="J11" s="642">
        <f t="shared" si="2"/>
        <v>28786</v>
      </c>
      <c r="K11" s="602">
        <f>+SUMIF('13.mell_ÖNKfeladatok2019'!$B$166:$B$319,'14.mell_Önk kiegészítés2019'!$A11,'13.mell_ÖNKfeladatok2019'!I$166:I$319)</f>
        <v>26229</v>
      </c>
      <c r="L11" s="602">
        <f>+SUMIF('13.mell_ÖNKfeladatok2019'!$B$166:$B$319,'14.mell_Önk kiegészítés2019'!$A11,'13.mell_ÖNKfeladatok2019'!J$166:J$319)</f>
        <v>2557</v>
      </c>
      <c r="M11" s="602">
        <f>+SUMIF('13.mell_ÖNKfeladatok2019'!$B$166:$B$319,'14.mell_Önk kiegészítés2019'!$A11,'13.mell_ÖNKfeladatok2019'!K$166:K$319)</f>
        <v>15000</v>
      </c>
      <c r="N11" s="602">
        <f>+SUMIF('13.mell_ÖNKfeladatok2019'!$B$166:$B$319,'14.mell_Önk kiegészítés2019'!$A11,'13.mell_ÖNKfeladatok2019'!L$166:L$319)</f>
        <v>52505</v>
      </c>
      <c r="O11" s="602">
        <f>+SUMIF('13.mell_ÖNKfeladatok2019'!$B$166:$B$319,'14.mell_Önk kiegészítés2019'!$A11,'13.mell_ÖNKfeladatok2019'!M$166:M$319)</f>
        <v>0</v>
      </c>
      <c r="P11" s="602">
        <f>+SUMIF('13.mell_ÖNKfeladatok2019'!$B$166:$B$319,'14.mell_Önk kiegészítés2019'!$A11,'13.mell_ÖNKfeladatok2019'!O$166:O$319)</f>
        <v>0</v>
      </c>
      <c r="Q11" s="602">
        <f>+SUMIF('13.mell_ÖNKfeladatok2019'!$B$166:$B$319,'14.mell_Önk kiegészítés2019'!$A11,'13.mell_ÖNKfeladatok2019'!P$166:P$319)</f>
        <v>0</v>
      </c>
      <c r="R11" s="602">
        <f>+SUMIF('13.mell_ÖNKfeladatok2019'!$B$166:$B$319,'14.mell_Önk kiegészítés2019'!$A11,'13.mell_ÖNKfeladatok2019'!Q$166:Q$319)</f>
        <v>0</v>
      </c>
      <c r="S11" s="642">
        <f t="shared" si="0"/>
        <v>96291</v>
      </c>
      <c r="T11" s="603">
        <f t="shared" si="3"/>
        <v>67505</v>
      </c>
      <c r="U11" s="1357">
        <f>-ROUND('10.mell_támogatások2019'!$D$32/1000,0)+ROUND(SUMIF('10.mell_támogatások2019'!$B$6:$B$136,'14.mell_Önk kiegészítés2019'!$A11,'10.mell_támogatások2019'!D$6:D$136)/1000,0)-17267</f>
        <v>100107</v>
      </c>
      <c r="V11" s="604">
        <f t="shared" si="1"/>
        <v>-32602</v>
      </c>
      <c r="X11" s="937">
        <f>+V11+V15+V35+V36+V62-(V35-4139)+6581</f>
        <v>-3259</v>
      </c>
      <c r="Y11" s="257" t="s">
        <v>1410</v>
      </c>
      <c r="AH11" s="257">
        <f>-((9317+1817)+(4714+919)+500)</f>
        <v>-17267</v>
      </c>
    </row>
    <row r="12" spans="1:41">
      <c r="A12" s="877">
        <f>A11+1</f>
        <v>7</v>
      </c>
      <c r="B12" s="601" t="s">
        <v>783</v>
      </c>
      <c r="C12" s="602">
        <f>+SUMIF('13.mell_ÖNKfeladatok2019'!$B$5:$B$158,'14.mell_Önk kiegészítés2019'!$A12,'13.mell_ÖNKfeladatok2019'!I$5:I$158)</f>
        <v>0</v>
      </c>
      <c r="D12" s="602">
        <f>+SUMIF('13.mell_ÖNKfeladatok2019'!$B$5:$B$158,'14.mell_Önk kiegészítés2019'!$A12,'13.mell_ÖNKfeladatok2019'!J$5:J$158)</f>
        <v>0</v>
      </c>
      <c r="E12" s="602">
        <f>+SUMIF('13.mell_ÖNKfeladatok2019'!$B$5:$B$158,'14.mell_Önk kiegészítés2019'!$A12,'13.mell_ÖNKfeladatok2019'!K$5:K$158)</f>
        <v>0</v>
      </c>
      <c r="F12" s="602">
        <f>+SUMIF('13.mell_ÖNKfeladatok2019'!$B$5:$B$158,'14.mell_Önk kiegészítés2019'!$A12,'13.mell_ÖNKfeladatok2019'!L$5:L$158)</f>
        <v>0</v>
      </c>
      <c r="G12" s="598">
        <f>+SUMIF('13.mell_ÖNKfeladatok2019'!$B$5:$B$158,'14.mell_Önk kiegészítés2019'!$A12,'13.mell_ÖNKfeladatok2019'!N$5:N$158)</f>
        <v>0</v>
      </c>
      <c r="H12" s="602">
        <f>+SUMIF('13.mell_ÖNKfeladatok2019'!$B$5:$B$158,'14.mell_Önk kiegészítés2019'!$A12,'13.mell_ÖNKfeladatok2019'!O$5:O$158)</f>
        <v>0</v>
      </c>
      <c r="I12" s="602">
        <f>+SUMIF('13.mell_ÖNKfeladatok2019'!$B$5:$B$158,'14.mell_Önk kiegészítés2019'!$A12,'13.mell_ÖNKfeladatok2019'!P$5:P$158)</f>
        <v>0</v>
      </c>
      <c r="J12" s="642">
        <f>SUM(C12:I12)</f>
        <v>0</v>
      </c>
      <c r="K12" s="602">
        <f>+SUMIF('13.mell_ÖNKfeladatok2019'!$B$166:$B$319,'14.mell_Önk kiegészítés2019'!$A12,'13.mell_ÖNKfeladatok2019'!I$166:I$319)</f>
        <v>0</v>
      </c>
      <c r="L12" s="602">
        <f>+SUMIF('13.mell_ÖNKfeladatok2019'!$B$166:$B$319,'14.mell_Önk kiegészítés2019'!$A12,'13.mell_ÖNKfeladatok2019'!J$166:J$319)</f>
        <v>0</v>
      </c>
      <c r="M12" s="602">
        <f>+SUMIF('13.mell_ÖNKfeladatok2019'!$B$166:$B$319,'14.mell_Önk kiegészítés2019'!$A12,'13.mell_ÖNKfeladatok2019'!K$166:K$319)</f>
        <v>0</v>
      </c>
      <c r="N12" s="602">
        <f>+SUMIF('13.mell_ÖNKfeladatok2019'!$B$166:$B$319,'14.mell_Önk kiegészítés2019'!$A12,'13.mell_ÖNKfeladatok2019'!L$166:L$319)</f>
        <v>0</v>
      </c>
      <c r="O12" s="602">
        <f>+SUMIF('13.mell_ÖNKfeladatok2019'!$B$166:$B$319,'14.mell_Önk kiegészítés2019'!$A12,'13.mell_ÖNKfeladatok2019'!M$166:M$319)</f>
        <v>0</v>
      </c>
      <c r="P12" s="602">
        <f>+SUMIF('13.mell_ÖNKfeladatok2019'!$B$166:$B$319,'14.mell_Önk kiegészítés2019'!$A12,'13.mell_ÖNKfeladatok2019'!O$166:O$319)</f>
        <v>6672</v>
      </c>
      <c r="Q12" s="602">
        <f>+SUMIF('13.mell_ÖNKfeladatok2019'!$B$166:$B$319,'14.mell_Önk kiegészítés2019'!$A12,'13.mell_ÖNKfeladatok2019'!P$166:P$319)</f>
        <v>0</v>
      </c>
      <c r="R12" s="602">
        <f>+SUMIF('13.mell_ÖNKfeladatok2019'!$B$166:$B$319,'14.mell_Önk kiegészítés2019'!$A12,'13.mell_ÖNKfeladatok2019'!Q$166:Q$319)</f>
        <v>0</v>
      </c>
      <c r="S12" s="642">
        <f>SUM(K12:R12)</f>
        <v>6672</v>
      </c>
      <c r="T12" s="603">
        <f>S12-J12</f>
        <v>6672</v>
      </c>
      <c r="U12" s="1358">
        <f>+ROUND(SUMIF('10.mell_támogatások2019'!$B$6:$B$136,'14.mell_Önk kiegészítés2019'!$A12,'10.mell_támogatások2019'!D$6:D$136)/1000,0)</f>
        <v>0</v>
      </c>
      <c r="V12" s="604">
        <f>+T12-U12</f>
        <v>6672</v>
      </c>
    </row>
    <row r="13" spans="1:41" ht="12.75" thickBot="1">
      <c r="A13" s="877">
        <f>+A12+1</f>
        <v>8</v>
      </c>
      <c r="B13" s="605" t="s">
        <v>766</v>
      </c>
      <c r="C13" s="602">
        <f>+SUMIF('13.mell_ÖNKfeladatok2019'!$B$5:$B$158,'14.mell_Önk kiegészítés2019'!$A13,'13.mell_ÖNKfeladatok2019'!I$5:I$158)</f>
        <v>930780</v>
      </c>
      <c r="D13" s="606">
        <f>+SUMIF('13.mell_ÖNKfeladatok2019'!$B$5:$B$158,'14.mell_Önk kiegészítés2019'!$A13,'13.mell_ÖNKfeladatok2019'!J$5:J$158)</f>
        <v>371480</v>
      </c>
      <c r="E13" s="606">
        <f>+SUMIF('13.mell_ÖNKfeladatok2019'!$B$5:$B$158,'14.mell_Önk kiegészítés2019'!$A13,'13.mell_ÖNKfeladatok2019'!K$5:K$158)</f>
        <v>72147</v>
      </c>
      <c r="F13" s="606">
        <f>+SUMIF('13.mell_ÖNKfeladatok2019'!$B$5:$B$158,'14.mell_Önk kiegészítés2019'!$A13,'13.mell_ÖNKfeladatok2019'!L$5:L$158)</f>
        <v>5800</v>
      </c>
      <c r="G13" s="598">
        <f>+SUMIF('13.mell_ÖNKfeladatok2019'!$B$5:$B$158,'14.mell_Önk kiegészítés2019'!$A13,'13.mell_ÖNKfeladatok2019'!N$5:N$158)</f>
        <v>27399</v>
      </c>
      <c r="H13" s="606">
        <f>+SUMIF('13.mell_ÖNKfeladatok2019'!$B$5:$B$158,'14.mell_Önk kiegészítés2019'!$A13,'13.mell_ÖNKfeladatok2019'!O$5:O$158)</f>
        <v>10350</v>
      </c>
      <c r="I13" s="606">
        <f>+SUMIF('13.mell_ÖNKfeladatok2019'!$B$5:$B$158,'14.mell_Önk kiegészítés2019'!$A13,'13.mell_ÖNKfeladatok2019'!P$5:P$158)</f>
        <v>0</v>
      </c>
      <c r="J13" s="642">
        <f t="shared" si="2"/>
        <v>1417956</v>
      </c>
      <c r="K13" s="602">
        <f>+SUMIF('13.mell_ÖNKfeladatok2019'!$B$166:$B$319,'14.mell_Önk kiegészítés2019'!$A13,'13.mell_ÖNKfeladatok2019'!I$166:I$319)</f>
        <v>0</v>
      </c>
      <c r="L13" s="602">
        <f>+SUMIF('13.mell_ÖNKfeladatok2019'!$B$166:$B$319,'14.mell_Önk kiegészítés2019'!$A13,'13.mell_ÖNKfeladatok2019'!J$166:J$319)</f>
        <v>0</v>
      </c>
      <c r="M13" s="602">
        <f>+SUMIF('13.mell_ÖNKfeladatok2019'!$B$166:$B$319,'14.mell_Önk kiegészítés2019'!$A13,'13.mell_ÖNKfeladatok2019'!K$166:K$319)</f>
        <v>118848</v>
      </c>
      <c r="N13" s="602">
        <f>+SUMIF('13.mell_ÖNKfeladatok2019'!$B$166:$B$319,'14.mell_Önk kiegészítés2019'!$A13,'13.mell_ÖNKfeladatok2019'!L$166:L$319)</f>
        <v>0</v>
      </c>
      <c r="O13" s="602">
        <f>+SUMIF('13.mell_ÖNKfeladatok2019'!$B$166:$B$319,'14.mell_Önk kiegészítés2019'!$A13,'13.mell_ÖNKfeladatok2019'!M$166:M$319)</f>
        <v>2869912</v>
      </c>
      <c r="P13" s="602">
        <f>+SUMIF('13.mell_ÖNKfeladatok2019'!$B$166:$B$319,'14.mell_Önk kiegészítés2019'!$A13,'13.mell_ÖNKfeladatok2019'!O$166:O$319)</f>
        <v>93975</v>
      </c>
      <c r="Q13" s="602">
        <f>+SUMIF('13.mell_ÖNKfeladatok2019'!$B$166:$B$319,'14.mell_Önk kiegészítés2019'!$A13,'13.mell_ÖNKfeladatok2019'!P$166:P$319)</f>
        <v>8676</v>
      </c>
      <c r="R13" s="602">
        <f>+SUMIF('13.mell_ÖNKfeladatok2019'!$B$166:$B$319,'14.mell_Önk kiegészítés2019'!$A13,'13.mell_ÖNKfeladatok2019'!Q$166:Q$319)</f>
        <v>0</v>
      </c>
      <c r="S13" s="642">
        <f t="shared" si="0"/>
        <v>3091411</v>
      </c>
      <c r="T13" s="603">
        <f t="shared" si="3"/>
        <v>1673455</v>
      </c>
      <c r="U13" s="1358">
        <f>-ROUND('10.mell_támogatások2019'!$D$136/1000,0)+ROUND(SUMIF('10.mell_támogatások2019'!$B$6:$B$136,'14.mell_Önk kiegészítés2019'!$A13,'10.mell_támogatások2019'!D$6:D$136)/1000,0)+1</f>
        <v>-738504</v>
      </c>
      <c r="V13" s="604">
        <f t="shared" si="1"/>
        <v>2411959</v>
      </c>
    </row>
    <row r="14" spans="1:41" s="593" customFormat="1" ht="12.75" thickBot="1">
      <c r="A14" s="607" t="s">
        <v>596</v>
      </c>
      <c r="B14" s="608" t="s">
        <v>411</v>
      </c>
      <c r="C14" s="609">
        <f>SUM(C6:C13)</f>
        <v>959566</v>
      </c>
      <c r="D14" s="610">
        <f t="shared" ref="D14:V14" si="4">SUM(D6:D13)</f>
        <v>371480</v>
      </c>
      <c r="E14" s="610">
        <f t="shared" si="4"/>
        <v>73647</v>
      </c>
      <c r="F14" s="610">
        <f t="shared" si="4"/>
        <v>5800</v>
      </c>
      <c r="G14" s="610">
        <f t="shared" si="4"/>
        <v>27399</v>
      </c>
      <c r="H14" s="610">
        <f t="shared" si="4"/>
        <v>10350</v>
      </c>
      <c r="I14" s="611">
        <f t="shared" si="4"/>
        <v>0</v>
      </c>
      <c r="J14" s="612">
        <f t="shared" si="4"/>
        <v>1448242</v>
      </c>
      <c r="K14" s="609">
        <f t="shared" si="4"/>
        <v>59779</v>
      </c>
      <c r="L14" s="609">
        <f t="shared" si="4"/>
        <v>8859</v>
      </c>
      <c r="M14" s="609">
        <f t="shared" si="4"/>
        <v>195031</v>
      </c>
      <c r="N14" s="609">
        <f t="shared" si="4"/>
        <v>52505</v>
      </c>
      <c r="O14" s="609">
        <f t="shared" si="4"/>
        <v>2869912</v>
      </c>
      <c r="P14" s="609">
        <f t="shared" si="4"/>
        <v>103147</v>
      </c>
      <c r="Q14" s="609">
        <f t="shared" si="4"/>
        <v>19676</v>
      </c>
      <c r="R14" s="609">
        <f t="shared" si="4"/>
        <v>0</v>
      </c>
      <c r="S14" s="612">
        <f t="shared" si="4"/>
        <v>3308909</v>
      </c>
      <c r="T14" s="609">
        <f t="shared" si="4"/>
        <v>1860667</v>
      </c>
      <c r="U14" s="613">
        <f t="shared" si="4"/>
        <v>-577949</v>
      </c>
      <c r="V14" s="612">
        <f t="shared" si="4"/>
        <v>2438616</v>
      </c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</row>
    <row r="15" spans="1:41" ht="12.75">
      <c r="A15" s="877">
        <f>+A13+1</f>
        <v>9</v>
      </c>
      <c r="B15" s="605" t="s">
        <v>781</v>
      </c>
      <c r="C15" s="606">
        <f>+SUMIF('13.mell_ÖNKfeladatok2019'!$B$5:$B$158,'14.mell_Önk kiegészítés2019'!$A15,'13.mell_ÖNKfeladatok2019'!I$5:I$158)</f>
        <v>0</v>
      </c>
      <c r="D15" s="606">
        <f>+SUMIF('13.mell_ÖNKfeladatok2019'!$B$5:$B$158,'14.mell_Önk kiegészítés2019'!$A15,'13.mell_ÖNKfeladatok2019'!J$5:J$158)</f>
        <v>0</v>
      </c>
      <c r="E15" s="606">
        <f>+SUMIF('13.mell_ÖNKfeladatok2019'!$B$5:$B$158,'14.mell_Önk kiegészítés2019'!$A15,'13.mell_ÖNKfeladatok2019'!K$5:K$158)</f>
        <v>0</v>
      </c>
      <c r="F15" s="606">
        <f>+SUMIF('13.mell_ÖNKfeladatok2019'!$B$5:$B$158,'14.mell_Önk kiegészítés2019'!$A15,'13.mell_ÖNKfeladatok2019'!L$5:L$158)</f>
        <v>0</v>
      </c>
      <c r="G15" s="606">
        <f>+SUMIF('13.mell_ÖNKfeladatok2019'!$B$5:$B$158,'14.mell_Önk kiegészítés2019'!$A15,'13.mell_ÖNKfeladatok2019'!N$5:N$158)</f>
        <v>0</v>
      </c>
      <c r="H15" s="606">
        <f>+SUMIF('13.mell_ÖNKfeladatok2019'!$B$5:$B$158,'14.mell_Önk kiegészítés2019'!$A15,'13.mell_ÖNKfeladatok2019'!O$5:O$158)</f>
        <v>0</v>
      </c>
      <c r="I15" s="606">
        <f>+SUMIF('13.mell_ÖNKfeladatok2019'!$B$5:$B$158,'14.mell_Önk kiegészítés2019'!$A15,'13.mell_ÖNKfeladatok2019'!P$5:P$158)</f>
        <v>0</v>
      </c>
      <c r="J15" s="643">
        <f>SUM(C15:I15)</f>
        <v>0</v>
      </c>
      <c r="K15" s="602">
        <f>+SUMIF('13.mell_ÖNKfeladatok2019'!$B$166:$B$319,'14.mell_Önk kiegészítés2019'!$A15,'13.mell_ÖNKfeladatok2019'!I$166:I$319)</f>
        <v>0</v>
      </c>
      <c r="L15" s="602">
        <f>+SUMIF('13.mell_ÖNKfeladatok2019'!$B$166:$B$319,'14.mell_Önk kiegészítés2019'!$A15,'13.mell_ÖNKfeladatok2019'!J$166:J$319)</f>
        <v>0</v>
      </c>
      <c r="M15" s="602">
        <f>+SUMIF('13.mell_ÖNKfeladatok2019'!$B$166:$B$319,'14.mell_Önk kiegészítés2019'!$A15,'13.mell_ÖNKfeladatok2019'!K$166:K$319)</f>
        <v>0</v>
      </c>
      <c r="N15" s="602">
        <f>+SUMIF('13.mell_ÖNKfeladatok2019'!$B$166:$B$319,'14.mell_Önk kiegészítés2019'!$A15,'13.mell_ÖNKfeladatok2019'!L$166:L$319)</f>
        <v>5038</v>
      </c>
      <c r="O15" s="602">
        <f>+SUMIF('13.mell_ÖNKfeladatok2019'!$B$166:$B$319,'14.mell_Önk kiegészítés2019'!$A15,'13.mell_ÖNKfeladatok2019'!M$166:M$319)</f>
        <v>0</v>
      </c>
      <c r="P15" s="602">
        <f>+SUMIF('13.mell_ÖNKfeladatok2019'!$B$166:$B$319,'14.mell_Önk kiegészítés2019'!$A15,'13.mell_ÖNKfeladatok2019'!O$166:O$319)</f>
        <v>0</v>
      </c>
      <c r="Q15" s="602">
        <f>+SUMIF('13.mell_ÖNKfeladatok2019'!$B$166:$B$319,'14.mell_Önk kiegészítés2019'!$A15,'13.mell_ÖNKfeladatok2019'!P$166:P$319)</f>
        <v>0</v>
      </c>
      <c r="R15" s="602">
        <f>+SUMIF('13.mell_ÖNKfeladatok2019'!$B$166:$B$319,'14.mell_Önk kiegészítés2019'!$A15,'13.mell_ÖNKfeladatok2019'!Q$166:Q$319)</f>
        <v>0</v>
      </c>
      <c r="S15" s="642">
        <f>SUM(K15:R15)</f>
        <v>5038</v>
      </c>
      <c r="T15" s="603">
        <f>S15-J15</f>
        <v>5038</v>
      </c>
      <c r="U15" s="1359">
        <f>+ROUND(SUMIF('10.mell_támogatások2019'!$B$6:$B$136,'14.mell_Önk kiegészítés2019'!$A15,'10.mell_támogatások2019'!D$6:D$136)/1000,0)</f>
        <v>0</v>
      </c>
      <c r="V15" s="604">
        <f>+T15-U15</f>
        <v>5038</v>
      </c>
    </row>
    <row r="16" spans="1:41" ht="12.75" thickBot="1">
      <c r="A16" s="877">
        <f>+A15+1</f>
        <v>10</v>
      </c>
      <c r="B16" s="605" t="s">
        <v>767</v>
      </c>
      <c r="C16" s="606">
        <f>+SUMIF('13.mell_ÖNKfeladatok2019'!$B$5:$B$158,'14.mell_Önk kiegészítés2019'!$A16,'13.mell_ÖNKfeladatok2019'!I$5:I$158)</f>
        <v>0</v>
      </c>
      <c r="D16" s="606">
        <f>+SUMIF('13.mell_ÖNKfeladatok2019'!$B$5:$B$158,'14.mell_Önk kiegészítés2019'!$A16,'13.mell_ÖNKfeladatok2019'!J$5:J$158)</f>
        <v>0</v>
      </c>
      <c r="E16" s="606">
        <f>+SUMIF('13.mell_ÖNKfeladatok2019'!$B$5:$B$158,'14.mell_Önk kiegészítés2019'!$A16,'13.mell_ÖNKfeladatok2019'!K$5:K$158)</f>
        <v>0</v>
      </c>
      <c r="F16" s="606">
        <f>+SUMIF('13.mell_ÖNKfeladatok2019'!$B$5:$B$158,'14.mell_Önk kiegészítés2019'!$A16,'13.mell_ÖNKfeladatok2019'!L$5:L$158)</f>
        <v>0</v>
      </c>
      <c r="G16" s="606">
        <f>+SUMIF('13.mell_ÖNKfeladatok2019'!$B$5:$B$158,'14.mell_Önk kiegészítés2019'!$A16,'13.mell_ÖNKfeladatok2019'!N$5:N$158)</f>
        <v>350000</v>
      </c>
      <c r="H16" s="606">
        <f>+SUMIF('13.mell_ÖNKfeladatok2019'!$B$5:$B$158,'14.mell_Önk kiegészítés2019'!$A16,'13.mell_ÖNKfeladatok2019'!O$5:O$158)</f>
        <v>0</v>
      </c>
      <c r="I16" s="606">
        <f>+SUMIF('13.mell_ÖNKfeladatok2019'!$B$5:$B$158,'14.mell_Önk kiegészítés2019'!$A16,'13.mell_ÖNKfeladatok2019'!P$5:P$158)</f>
        <v>1500</v>
      </c>
      <c r="J16" s="643">
        <f t="shared" si="2"/>
        <v>351500</v>
      </c>
      <c r="K16" s="602">
        <f>+SUMIF('13.mell_ÖNKfeladatok2019'!$B$166:$B$319,'14.mell_Önk kiegészítés2019'!$A16,'13.mell_ÖNKfeladatok2019'!I$166:I$319)</f>
        <v>0</v>
      </c>
      <c r="L16" s="602">
        <f>+SUMIF('13.mell_ÖNKfeladatok2019'!$B$166:$B$319,'14.mell_Önk kiegészítés2019'!$A16,'13.mell_ÖNKfeladatok2019'!J$166:J$319)</f>
        <v>0</v>
      </c>
      <c r="M16" s="602">
        <f>+SUMIF('13.mell_ÖNKfeladatok2019'!$B$166:$B$319,'14.mell_Önk kiegészítés2019'!$A16,'13.mell_ÖNKfeladatok2019'!K$166:K$319)</f>
        <v>2000</v>
      </c>
      <c r="N16" s="602">
        <f>+SUMIF('13.mell_ÖNKfeladatok2019'!$B$166:$B$319,'14.mell_Önk kiegészítés2019'!$A16,'13.mell_ÖNKfeladatok2019'!L$166:L$319)</f>
        <v>0</v>
      </c>
      <c r="O16" s="602">
        <f>+SUMIF('13.mell_ÖNKfeladatok2019'!$B$166:$B$319,'14.mell_Önk kiegészítés2019'!$A16,'13.mell_ÖNKfeladatok2019'!M$166:M$319)</f>
        <v>1200</v>
      </c>
      <c r="P16" s="602">
        <f>+SUMIF('13.mell_ÖNKfeladatok2019'!$B$166:$B$319,'14.mell_Önk kiegészítés2019'!$A16,'13.mell_ÖNKfeladatok2019'!O$166:O$319)</f>
        <v>350000</v>
      </c>
      <c r="Q16" s="602">
        <f>+SUMIF('13.mell_ÖNKfeladatok2019'!$B$166:$B$319,'14.mell_Önk kiegészítés2019'!$A16,'13.mell_ÖNKfeladatok2019'!P$166:P$319)</f>
        <v>0</v>
      </c>
      <c r="R16" s="602">
        <f>+SUMIF('13.mell_ÖNKfeladatok2019'!$B$166:$B$319,'14.mell_Önk kiegészítés2019'!$A16,'13.mell_ÖNKfeladatok2019'!Q$166:Q$319)</f>
        <v>0</v>
      </c>
      <c r="S16" s="642">
        <f>SUM(K16:R16)</f>
        <v>353200</v>
      </c>
      <c r="T16" s="603">
        <f t="shared" si="3"/>
        <v>1700</v>
      </c>
      <c r="U16" s="1358">
        <f>+ROUND(SUMIF('10.mell_támogatások2019'!$B$6:$B$136,'14.mell_Önk kiegészítés2019'!$A16,'10.mell_támogatások2019'!D$6:D$136)/1000,0)</f>
        <v>0</v>
      </c>
      <c r="V16" s="604">
        <f>+T16-U16</f>
        <v>1700</v>
      </c>
    </row>
    <row r="17" spans="1:41" s="593" customFormat="1" ht="12.75" thickBot="1">
      <c r="A17" s="607" t="s">
        <v>597</v>
      </c>
      <c r="B17" s="608" t="s">
        <v>412</v>
      </c>
      <c r="C17" s="609">
        <f t="shared" ref="C17:V17" si="5">SUM(C15:C16)</f>
        <v>0</v>
      </c>
      <c r="D17" s="610">
        <f t="shared" si="5"/>
        <v>0</v>
      </c>
      <c r="E17" s="610">
        <f t="shared" si="5"/>
        <v>0</v>
      </c>
      <c r="F17" s="610">
        <f t="shared" si="5"/>
        <v>0</v>
      </c>
      <c r="G17" s="610">
        <f t="shared" si="5"/>
        <v>350000</v>
      </c>
      <c r="H17" s="610">
        <f t="shared" si="5"/>
        <v>0</v>
      </c>
      <c r="I17" s="613">
        <f t="shared" si="5"/>
        <v>1500</v>
      </c>
      <c r="J17" s="612">
        <f t="shared" si="5"/>
        <v>351500</v>
      </c>
      <c r="K17" s="609">
        <f t="shared" si="5"/>
        <v>0</v>
      </c>
      <c r="L17" s="609">
        <f t="shared" si="5"/>
        <v>0</v>
      </c>
      <c r="M17" s="609">
        <f t="shared" si="5"/>
        <v>2000</v>
      </c>
      <c r="N17" s="609">
        <f t="shared" si="5"/>
        <v>5038</v>
      </c>
      <c r="O17" s="609">
        <f t="shared" si="5"/>
        <v>1200</v>
      </c>
      <c r="P17" s="609">
        <f t="shared" si="5"/>
        <v>350000</v>
      </c>
      <c r="Q17" s="609">
        <f t="shared" si="5"/>
        <v>0</v>
      </c>
      <c r="R17" s="609">
        <f t="shared" si="5"/>
        <v>0</v>
      </c>
      <c r="S17" s="612">
        <f t="shared" si="5"/>
        <v>358238</v>
      </c>
      <c r="T17" s="609">
        <f t="shared" si="5"/>
        <v>6738</v>
      </c>
      <c r="U17" s="613">
        <f t="shared" si="5"/>
        <v>0</v>
      </c>
      <c r="V17" s="612">
        <f t="shared" si="5"/>
        <v>6738</v>
      </c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</row>
    <row r="18" spans="1:41" ht="12.75" thickBot="1">
      <c r="A18" s="877">
        <f>+A16+1</f>
        <v>11</v>
      </c>
      <c r="B18" s="614" t="s">
        <v>413</v>
      </c>
      <c r="C18" s="615">
        <f>+SUMIF('13.mell_ÖNKfeladatok2019'!$B$5:$B$158,'14.mell_Önk kiegészítés2019'!$A18,'13.mell_ÖNKfeladatok2019'!I$5:I$158)</f>
        <v>0</v>
      </c>
      <c r="D18" s="615">
        <f>+SUMIF('13.mell_ÖNKfeladatok2019'!$B$5:$B$158,'14.mell_Önk kiegészítés2019'!$A18,'13.mell_ÖNKfeladatok2019'!J$5:J$158)</f>
        <v>0</v>
      </c>
      <c r="E18" s="615">
        <f>+SUMIF('13.mell_ÖNKfeladatok2019'!$B$5:$B$158,'14.mell_Önk kiegészítés2019'!$A18,'13.mell_ÖNKfeladatok2019'!K$5:K$158)</f>
        <v>0</v>
      </c>
      <c r="F18" s="615">
        <f>+SUMIF('13.mell_ÖNKfeladatok2019'!$B$5:$B$158,'14.mell_Önk kiegészítés2019'!$A18,'13.mell_ÖNKfeladatok2019'!L$5:L$158)</f>
        <v>0</v>
      </c>
      <c r="G18" s="615">
        <f>+SUMIF('13.mell_ÖNKfeladatok2019'!$B$5:$B$158,'14.mell_Önk kiegészítés2019'!$A18,'13.mell_ÖNKfeladatok2019'!N$5:N$158)</f>
        <v>0</v>
      </c>
      <c r="H18" s="615">
        <f>+SUMIF('13.mell_ÖNKfeladatok2019'!$B$5:$B$158,'14.mell_Önk kiegészítés2019'!$A18,'13.mell_ÖNKfeladatok2019'!O$5:O$158)</f>
        <v>0</v>
      </c>
      <c r="I18" s="615">
        <f>+SUMIF('13.mell_ÖNKfeladatok2019'!$B$5:$B$158,'14.mell_Önk kiegészítés2019'!$A18,'13.mell_ÖNKfeladatok2019'!P$5:P$158)</f>
        <v>0</v>
      </c>
      <c r="J18" s="644">
        <f t="shared" si="2"/>
        <v>0</v>
      </c>
      <c r="K18" s="602">
        <f>+SUMIF('13.mell_ÖNKfeladatok2019'!$B$166:$B$319,'14.mell_Önk kiegészítés2019'!$A18,'13.mell_ÖNKfeladatok2019'!I$166:I$319)</f>
        <v>0</v>
      </c>
      <c r="L18" s="602">
        <f>+SUMIF('13.mell_ÖNKfeladatok2019'!$B$166:$B$319,'14.mell_Önk kiegészítés2019'!$A18,'13.mell_ÖNKfeladatok2019'!J$166:J$319)</f>
        <v>0</v>
      </c>
      <c r="M18" s="602">
        <f>+SUMIF('13.mell_ÖNKfeladatok2019'!$B$166:$B$319,'14.mell_Önk kiegészítés2019'!$A18,'13.mell_ÖNKfeladatok2019'!K$166:K$319)</f>
        <v>0</v>
      </c>
      <c r="N18" s="602">
        <f>+SUMIF('13.mell_ÖNKfeladatok2019'!$B$166:$B$319,'14.mell_Önk kiegészítés2019'!$A18,'13.mell_ÖNKfeladatok2019'!L$166:L$319)</f>
        <v>0</v>
      </c>
      <c r="O18" s="602">
        <f>+SUMIF('13.mell_ÖNKfeladatok2019'!$B$166:$B$319,'14.mell_Önk kiegészítés2019'!$A18,'13.mell_ÖNKfeladatok2019'!M$166:M$319)</f>
        <v>0</v>
      </c>
      <c r="P18" s="602">
        <f>+SUMIF('13.mell_ÖNKfeladatok2019'!$B$166:$B$319,'14.mell_Önk kiegészítés2019'!$A18,'13.mell_ÖNKfeladatok2019'!O$166:O$319)</f>
        <v>0</v>
      </c>
      <c r="Q18" s="602">
        <f>+SUMIF('13.mell_ÖNKfeladatok2019'!$B$166:$B$319,'14.mell_Önk kiegészítés2019'!$A18,'13.mell_ÖNKfeladatok2019'!P$166:P$319)</f>
        <v>0</v>
      </c>
      <c r="R18" s="602">
        <f>+SUMIF('13.mell_ÖNKfeladatok2019'!$B$166:$B$319,'14.mell_Önk kiegészítés2019'!$A18,'13.mell_ÖNKfeladatok2019'!Q$166:Q$319)</f>
        <v>0</v>
      </c>
      <c r="S18" s="642">
        <f>SUM(K18:R18)</f>
        <v>0</v>
      </c>
      <c r="T18" s="603">
        <f t="shared" si="3"/>
        <v>0</v>
      </c>
      <c r="U18" s="1358">
        <f>+ROUND(SUMIF('10.mell_támogatások2019'!$B$6:$B$136,'14.mell_Önk kiegészítés2019'!$A18,'10.mell_támogatások2019'!D$6:D$136)/1000,0)</f>
        <v>0</v>
      </c>
      <c r="V18" s="604">
        <f>+T18-U18</f>
        <v>0</v>
      </c>
    </row>
    <row r="19" spans="1:41" s="593" customFormat="1" ht="12.75" thickBot="1">
      <c r="A19" s="607" t="s">
        <v>598</v>
      </c>
      <c r="B19" s="608" t="s">
        <v>413</v>
      </c>
      <c r="C19" s="609">
        <f>SUM(C18)</f>
        <v>0</v>
      </c>
      <c r="D19" s="610">
        <f t="shared" ref="D19:V19" si="6">SUM(D18)</f>
        <v>0</v>
      </c>
      <c r="E19" s="610">
        <f t="shared" si="6"/>
        <v>0</v>
      </c>
      <c r="F19" s="610">
        <f t="shared" si="6"/>
        <v>0</v>
      </c>
      <c r="G19" s="610">
        <f t="shared" si="6"/>
        <v>0</v>
      </c>
      <c r="H19" s="610">
        <f t="shared" si="6"/>
        <v>0</v>
      </c>
      <c r="I19" s="613">
        <f t="shared" si="6"/>
        <v>0</v>
      </c>
      <c r="J19" s="612">
        <f t="shared" si="6"/>
        <v>0</v>
      </c>
      <c r="K19" s="609">
        <f t="shared" si="6"/>
        <v>0</v>
      </c>
      <c r="L19" s="609">
        <f t="shared" si="6"/>
        <v>0</v>
      </c>
      <c r="M19" s="609">
        <f t="shared" si="6"/>
        <v>0</v>
      </c>
      <c r="N19" s="609">
        <f t="shared" si="6"/>
        <v>0</v>
      </c>
      <c r="O19" s="609">
        <f t="shared" si="6"/>
        <v>0</v>
      </c>
      <c r="P19" s="609">
        <f t="shared" si="6"/>
        <v>0</v>
      </c>
      <c r="Q19" s="609">
        <f t="shared" si="6"/>
        <v>0</v>
      </c>
      <c r="R19" s="609">
        <f t="shared" si="6"/>
        <v>0</v>
      </c>
      <c r="S19" s="612">
        <f t="shared" si="6"/>
        <v>0</v>
      </c>
      <c r="T19" s="609">
        <f t="shared" si="6"/>
        <v>0</v>
      </c>
      <c r="U19" s="613">
        <f t="shared" si="6"/>
        <v>0</v>
      </c>
      <c r="V19" s="612">
        <f t="shared" si="6"/>
        <v>0</v>
      </c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</row>
    <row r="20" spans="1:41" s="593" customFormat="1" ht="12.75" thickBot="1">
      <c r="A20" s="616" t="s">
        <v>23</v>
      </c>
      <c r="B20" s="617" t="s">
        <v>414</v>
      </c>
      <c r="C20" s="618">
        <f t="shared" ref="C20:V20" si="7">+C14+C17+C19</f>
        <v>959566</v>
      </c>
      <c r="D20" s="619">
        <f t="shared" si="7"/>
        <v>371480</v>
      </c>
      <c r="E20" s="619">
        <f t="shared" si="7"/>
        <v>73647</v>
      </c>
      <c r="F20" s="619">
        <f t="shared" si="7"/>
        <v>5800</v>
      </c>
      <c r="G20" s="619">
        <f t="shared" si="7"/>
        <v>377399</v>
      </c>
      <c r="H20" s="619">
        <f t="shared" si="7"/>
        <v>10350</v>
      </c>
      <c r="I20" s="620">
        <f t="shared" si="7"/>
        <v>1500</v>
      </c>
      <c r="J20" s="621">
        <f t="shared" si="7"/>
        <v>1799742</v>
      </c>
      <c r="K20" s="618">
        <f t="shared" si="7"/>
        <v>59779</v>
      </c>
      <c r="L20" s="618">
        <f t="shared" si="7"/>
        <v>8859</v>
      </c>
      <c r="M20" s="618">
        <f t="shared" si="7"/>
        <v>197031</v>
      </c>
      <c r="N20" s="618">
        <f t="shared" si="7"/>
        <v>57543</v>
      </c>
      <c r="O20" s="618">
        <f t="shared" si="7"/>
        <v>2871112</v>
      </c>
      <c r="P20" s="618">
        <f t="shared" si="7"/>
        <v>453147</v>
      </c>
      <c r="Q20" s="618">
        <f t="shared" si="7"/>
        <v>19676</v>
      </c>
      <c r="R20" s="618">
        <f t="shared" si="7"/>
        <v>0</v>
      </c>
      <c r="S20" s="621">
        <f t="shared" si="7"/>
        <v>3667147</v>
      </c>
      <c r="T20" s="618">
        <f t="shared" si="7"/>
        <v>1867405</v>
      </c>
      <c r="U20" s="620">
        <f t="shared" si="7"/>
        <v>-577949</v>
      </c>
      <c r="V20" s="621">
        <f t="shared" si="7"/>
        <v>2445354</v>
      </c>
      <c r="X20" s="593">
        <f>+'13.mell_ÖNKfeladatok2019'!G90-J20</f>
        <v>0</v>
      </c>
      <c r="Y20" s="593">
        <f>+'13.mell_ÖNKfeladatok2019'!G251-S20</f>
        <v>0</v>
      </c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</row>
    <row r="21" spans="1:41" s="593" customFormat="1" ht="12.75" thickBot="1">
      <c r="A21" s="627"/>
      <c r="B21" s="628"/>
      <c r="C21" s="629"/>
      <c r="D21" s="629"/>
      <c r="E21" s="629"/>
      <c r="F21" s="629"/>
      <c r="G21" s="629"/>
      <c r="H21" s="629"/>
      <c r="I21" s="921"/>
      <c r="J21" s="632"/>
      <c r="K21" s="629"/>
      <c r="L21" s="629"/>
      <c r="M21" s="629"/>
      <c r="N21" s="629"/>
      <c r="O21" s="629"/>
      <c r="P21" s="629"/>
      <c r="Q21" s="629"/>
      <c r="R21" s="629"/>
      <c r="S21" s="632"/>
      <c r="T21" s="629"/>
      <c r="U21" s="631"/>
      <c r="V21" s="632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</row>
    <row r="22" spans="1:41">
      <c r="A22" s="922">
        <f>+A18+1</f>
        <v>12</v>
      </c>
      <c r="B22" s="923" t="s">
        <v>782</v>
      </c>
      <c r="C22" s="615">
        <f>+SUMIF('13.mell_ÖNKfeladatok2019'!$B$5:$B$158,'14.mell_Önk kiegészítés2019'!$A22,'13.mell_ÖNKfeladatok2019'!I$5:I$158)</f>
        <v>0</v>
      </c>
      <c r="D22" s="615">
        <f>+SUMIF('13.mell_ÖNKfeladatok2019'!$B$5:$B$158,'14.mell_Önk kiegészítés2019'!$A22,'13.mell_ÖNKfeladatok2019'!J$5:J$158)</f>
        <v>0</v>
      </c>
      <c r="E22" s="615">
        <f>+SUMIF('13.mell_ÖNKfeladatok2019'!$B$5:$B$158,'14.mell_Önk kiegészítés2019'!$A22,'13.mell_ÖNKfeladatok2019'!K$5:K$158)</f>
        <v>0</v>
      </c>
      <c r="F22" s="615">
        <f>+SUMIF('13.mell_ÖNKfeladatok2019'!$B$5:$B$158,'14.mell_Önk kiegészítés2019'!$A22,'13.mell_ÖNKfeladatok2019'!L$5:L$158)</f>
        <v>0</v>
      </c>
      <c r="G22" s="615">
        <f>+SUMIF('13.mell_ÖNKfeladatok2019'!$B$5:$B$158,'14.mell_Önk kiegészítés2019'!$A22,'13.mell_ÖNKfeladatok2019'!N$5:N$158)</f>
        <v>0</v>
      </c>
      <c r="H22" s="615">
        <f>+SUMIF('13.mell_ÖNKfeladatok2019'!$B$5:$B$158,'14.mell_Önk kiegészítés2019'!$A22,'13.mell_ÖNKfeladatok2019'!O$5:O$158)</f>
        <v>0</v>
      </c>
      <c r="I22" s="615">
        <f>+SUMIF('13.mell_ÖNKfeladatok2019'!$B$5:$B$158,'14.mell_Önk kiegészítés2019'!$A22,'13.mell_ÖNKfeladatok2019'!P$5:P$158)</f>
        <v>0</v>
      </c>
      <c r="J22" s="641">
        <f>SUM(C22:I22)</f>
        <v>0</v>
      </c>
      <c r="K22" s="598">
        <f>+SUMIF('13.mell_ÖNKfeladatok2019'!$B$166:$B$319,'14.mell_Önk kiegészítés2019'!$A22,'13.mell_ÖNKfeladatok2019'!I$166:I$319)</f>
        <v>161113</v>
      </c>
      <c r="L22" s="598">
        <f>+SUMIF('13.mell_ÖNKfeladatok2019'!$B$166:$B$319,'14.mell_Önk kiegészítés2019'!$A22,'13.mell_ÖNKfeladatok2019'!J$166:J$319)</f>
        <v>32843</v>
      </c>
      <c r="M22" s="598">
        <f>+SUMIF('13.mell_ÖNKfeladatok2019'!$B$166:$B$319,'14.mell_Önk kiegészítés2019'!$A22,'13.mell_ÖNKfeladatok2019'!K$166:K$319)</f>
        <v>23747</v>
      </c>
      <c r="N22" s="598">
        <f>+SUMIF('13.mell_ÖNKfeladatok2019'!$B$166:$B$319,'14.mell_Önk kiegészítés2019'!$A22,'13.mell_ÖNKfeladatok2019'!L$166:L$319)</f>
        <v>0</v>
      </c>
      <c r="O22" s="598">
        <f>+SUMIF('13.mell_ÖNKfeladatok2019'!$B$166:$B$319,'14.mell_Önk kiegészítés2019'!$A22,'13.mell_ÖNKfeladatok2019'!M$166:M$319)</f>
        <v>0</v>
      </c>
      <c r="P22" s="598">
        <f>+SUMIF('13.mell_ÖNKfeladatok2019'!$B$166:$B$319,'14.mell_Önk kiegészítés2019'!$A22,'13.mell_ÖNKfeladatok2019'!O$166:O$319)</f>
        <v>0</v>
      </c>
      <c r="Q22" s="598">
        <f>+SUMIF('13.mell_ÖNKfeladatok2019'!$B$166:$B$319,'14.mell_Önk kiegészítés2019'!$A22,'13.mell_ÖNKfeladatok2019'!P$166:P$319)</f>
        <v>0</v>
      </c>
      <c r="R22" s="598">
        <f>+SUMIF('13.mell_ÖNKfeladatok2019'!$B$166:$B$319,'14.mell_Önk kiegészítés2019'!$A22,'13.mell_ÖNKfeladatok2019'!Q$166:Q$319)</f>
        <v>0</v>
      </c>
      <c r="S22" s="641">
        <f>SUM(K22:R22)</f>
        <v>217703</v>
      </c>
      <c r="T22" s="599">
        <f>S22-J22</f>
        <v>217703</v>
      </c>
      <c r="U22" s="1357">
        <f>+ROUND(SUMIF('10.mell_támogatások2019'!$B$6:$B$136,'14.mell_Önk kiegészítés2019'!$A22,'10.mell_támogatások2019'!D$6:D$136)/1000,0)+18757</f>
        <v>164722</v>
      </c>
      <c r="V22" s="600">
        <f>+T22-U22</f>
        <v>52981</v>
      </c>
      <c r="AH22" s="257">
        <f>17267+1490</f>
        <v>18757</v>
      </c>
    </row>
    <row r="23" spans="1:41">
      <c r="A23" s="877">
        <f>+A22+1</f>
        <v>13</v>
      </c>
      <c r="B23" s="601" t="s">
        <v>783</v>
      </c>
      <c r="C23" s="606">
        <f>+SUMIF('13.mell_ÖNKfeladatok2019'!$B$5:$B$158,'14.mell_Önk kiegészítés2019'!$A23,'13.mell_ÖNKfeladatok2019'!I$5:I$158)</f>
        <v>0</v>
      </c>
      <c r="D23" s="606">
        <f>+SUMIF('13.mell_ÖNKfeladatok2019'!$B$5:$B$158,'14.mell_Önk kiegészítés2019'!$A23,'13.mell_ÖNKfeladatok2019'!J$5:J$158)</f>
        <v>0</v>
      </c>
      <c r="E23" s="606">
        <f>+SUMIF('13.mell_ÖNKfeladatok2019'!$B$5:$B$158,'14.mell_Önk kiegészítés2019'!$A23,'13.mell_ÖNKfeladatok2019'!K$5:K$158)</f>
        <v>0</v>
      </c>
      <c r="F23" s="606">
        <f>+SUMIF('13.mell_ÖNKfeladatok2019'!$B$5:$B$158,'14.mell_Önk kiegészítés2019'!$A23,'13.mell_ÖNKfeladatok2019'!L$5:L$158)</f>
        <v>0</v>
      </c>
      <c r="G23" s="606">
        <f>+SUMIF('13.mell_ÖNKfeladatok2019'!$B$5:$B$158,'14.mell_Önk kiegészítés2019'!$A23,'13.mell_ÖNKfeladatok2019'!N$5:N$158)</f>
        <v>0</v>
      </c>
      <c r="H23" s="606">
        <f>+SUMIF('13.mell_ÖNKfeladatok2019'!$B$5:$B$158,'14.mell_Önk kiegészítés2019'!$A23,'13.mell_ÖNKfeladatok2019'!O$5:O$158)</f>
        <v>0</v>
      </c>
      <c r="I23" s="606">
        <f>+SUMIF('13.mell_ÖNKfeladatok2019'!$B$5:$B$158,'14.mell_Önk kiegészítés2019'!$A23,'13.mell_ÖNKfeladatok2019'!P$5:P$158)</f>
        <v>0</v>
      </c>
      <c r="J23" s="642">
        <f>SUM(C23:I23)</f>
        <v>0</v>
      </c>
      <c r="K23" s="602">
        <f>+SUMIF('13.mell_ÖNKfeladatok2019'!$B$166:$B$319,'14.mell_Önk kiegészítés2019'!$A23,'13.mell_ÖNKfeladatok2019'!I$166:I$319)</f>
        <v>0</v>
      </c>
      <c r="L23" s="602">
        <f>+SUMIF('13.mell_ÖNKfeladatok2019'!$B$166:$B$319,'14.mell_Önk kiegészítés2019'!$A23,'13.mell_ÖNKfeladatok2019'!J$166:J$319)</f>
        <v>0</v>
      </c>
      <c r="M23" s="602">
        <f>+SUMIF('13.mell_ÖNKfeladatok2019'!$B$166:$B$319,'14.mell_Önk kiegészítés2019'!$A23,'13.mell_ÖNKfeladatok2019'!K$166:K$319)</f>
        <v>0</v>
      </c>
      <c r="N23" s="602">
        <f>+SUMIF('13.mell_ÖNKfeladatok2019'!$B$166:$B$319,'14.mell_Önk kiegészítés2019'!$A23,'13.mell_ÖNKfeladatok2019'!L$166:L$319)</f>
        <v>0</v>
      </c>
      <c r="O23" s="602">
        <f>+SUMIF('13.mell_ÖNKfeladatok2019'!$B$166:$B$319,'14.mell_Önk kiegészítés2019'!$A23,'13.mell_ÖNKfeladatok2019'!M$166:M$319)</f>
        <v>0</v>
      </c>
      <c r="P23" s="602">
        <f>+SUMIF('13.mell_ÖNKfeladatok2019'!$B$166:$B$319,'14.mell_Önk kiegészítés2019'!$A23,'13.mell_ÖNKfeladatok2019'!O$166:O$319)</f>
        <v>0</v>
      </c>
      <c r="Q23" s="602">
        <f>+SUMIF('13.mell_ÖNKfeladatok2019'!$B$166:$B$319,'14.mell_Önk kiegészítés2019'!$A23,'13.mell_ÖNKfeladatok2019'!P$166:P$319)</f>
        <v>0</v>
      </c>
      <c r="R23" s="602">
        <f>+SUMIF('13.mell_ÖNKfeladatok2019'!$B$166:$B$319,'14.mell_Önk kiegészítés2019'!$A23,'13.mell_ÖNKfeladatok2019'!Q$166:Q$319)</f>
        <v>0</v>
      </c>
      <c r="S23" s="642">
        <f>SUM(K23:R23)</f>
        <v>0</v>
      </c>
      <c r="T23" s="603">
        <f>S23-J23</f>
        <v>0</v>
      </c>
      <c r="U23" s="1358">
        <f>+ROUND(SUMIF('10.mell_támogatások2019'!$B$6:$B$136,'14.mell_Önk kiegészítés2019'!$A23,'10.mell_támogatások2019'!D$6:D$136)/1000,0)</f>
        <v>0</v>
      </c>
      <c r="V23" s="604">
        <f>+T23-U23</f>
        <v>0</v>
      </c>
    </row>
    <row r="24" spans="1:41" ht="12.75" thickBot="1">
      <c r="A24" s="877">
        <f>+A23+1</f>
        <v>14</v>
      </c>
      <c r="B24" s="605" t="s">
        <v>768</v>
      </c>
      <c r="C24" s="606">
        <f>+SUMIF('13.mell_ÖNKfeladatok2019'!$B$5:$B$158,'14.mell_Önk kiegészítés2019'!$A24,'13.mell_ÖNKfeladatok2019'!I$5:I$158)</f>
        <v>0</v>
      </c>
      <c r="D24" s="606">
        <f>+SUMIF('13.mell_ÖNKfeladatok2019'!$B$5:$B$158,'14.mell_Önk kiegészítés2019'!$A24,'13.mell_ÖNKfeladatok2019'!J$5:J$158)</f>
        <v>0</v>
      </c>
      <c r="E24" s="606">
        <f>+SUMIF('13.mell_ÖNKfeladatok2019'!$B$5:$B$158,'14.mell_Önk kiegészítés2019'!$A24,'13.mell_ÖNKfeladatok2019'!K$5:K$158)</f>
        <v>9674</v>
      </c>
      <c r="F24" s="606">
        <f>+SUMIF('13.mell_ÖNKfeladatok2019'!$B$5:$B$158,'14.mell_Önk kiegészítés2019'!$A24,'13.mell_ÖNKfeladatok2019'!L$5:L$158)</f>
        <v>0</v>
      </c>
      <c r="G24" s="606">
        <f>+SUMIF('13.mell_ÖNKfeladatok2019'!$B$5:$B$158,'14.mell_Önk kiegészítés2019'!$A24,'13.mell_ÖNKfeladatok2019'!N$5:N$158)</f>
        <v>0</v>
      </c>
      <c r="H24" s="606">
        <f>+SUMIF('13.mell_ÖNKfeladatok2019'!$B$5:$B$158,'14.mell_Önk kiegészítés2019'!$A24,'13.mell_ÖNKfeladatok2019'!O$5:O$158)</f>
        <v>0</v>
      </c>
      <c r="I24" s="606">
        <f>+SUMIF('13.mell_ÖNKfeladatok2019'!$B$5:$B$158,'14.mell_Önk kiegészítés2019'!$A24,'13.mell_ÖNKfeladatok2019'!P$5:P$158)</f>
        <v>0</v>
      </c>
      <c r="J24" s="642">
        <f>SUM(C24:I24)</f>
        <v>9674</v>
      </c>
      <c r="K24" s="602">
        <f>+SUMIF('13.mell_ÖNKfeladatok2019'!$B$166:$B$319,'14.mell_Önk kiegészítés2019'!$A24,'13.mell_ÖNKfeladatok2019'!I$166:I$319)</f>
        <v>97072</v>
      </c>
      <c r="L24" s="602">
        <f>+SUMIF('13.mell_ÖNKfeladatok2019'!$B$166:$B$319,'14.mell_Önk kiegészítés2019'!$A24,'13.mell_ÖNKfeladatok2019'!J$166:J$319)</f>
        <v>19239</v>
      </c>
      <c r="M24" s="602">
        <f>+SUMIF('13.mell_ÖNKfeladatok2019'!$B$166:$B$319,'14.mell_Önk kiegészítés2019'!$A24,'13.mell_ÖNKfeladatok2019'!K$166:K$319)</f>
        <v>13256</v>
      </c>
      <c r="N24" s="602">
        <f>+SUMIF('13.mell_ÖNKfeladatok2019'!$B$166:$B$319,'14.mell_Önk kiegészítés2019'!$A24,'13.mell_ÖNKfeladatok2019'!L$166:L$319)</f>
        <v>0</v>
      </c>
      <c r="O24" s="602">
        <f>+SUMIF('13.mell_ÖNKfeladatok2019'!$B$166:$B$319,'14.mell_Önk kiegészítés2019'!$A24,'13.mell_ÖNKfeladatok2019'!M$166:M$319)</f>
        <v>0</v>
      </c>
      <c r="P24" s="602">
        <f>+SUMIF('13.mell_ÖNKfeladatok2019'!$B$166:$B$319,'14.mell_Önk kiegészítés2019'!$A24,'13.mell_ÖNKfeladatok2019'!O$166:O$319)</f>
        <v>0</v>
      </c>
      <c r="Q24" s="602">
        <f>+SUMIF('13.mell_ÖNKfeladatok2019'!$B$166:$B$319,'14.mell_Önk kiegészítés2019'!$A24,'13.mell_ÖNKfeladatok2019'!P$166:P$319)</f>
        <v>0</v>
      </c>
      <c r="R24" s="602">
        <f>+SUMIF('13.mell_ÖNKfeladatok2019'!$B$166:$B$319,'14.mell_Önk kiegészítés2019'!$A24,'13.mell_ÖNKfeladatok2019'!Q$166:Q$319)</f>
        <v>0</v>
      </c>
      <c r="S24" s="642">
        <f>SUM(K24:R24)</f>
        <v>129567</v>
      </c>
      <c r="T24" s="603">
        <f>S24-J24</f>
        <v>119893</v>
      </c>
      <c r="U24" s="1358">
        <f>+ROUND(SUMIF('10.mell_támogatások2019'!$B$6:$B$136,'14.mell_Önk kiegészítés2019'!$A24,'10.mell_támogatások2019'!D$6:D$136)/1000,0)</f>
        <v>0</v>
      </c>
      <c r="V24" s="604">
        <f>+T24-U24</f>
        <v>119893</v>
      </c>
    </row>
    <row r="25" spans="1:41" s="593" customFormat="1" ht="12.75" thickBot="1">
      <c r="A25" s="607" t="s">
        <v>599</v>
      </c>
      <c r="B25" s="608" t="s">
        <v>879</v>
      </c>
      <c r="C25" s="609">
        <f t="shared" ref="C25:V25" si="8">SUM(C22:C24)</f>
        <v>0</v>
      </c>
      <c r="D25" s="610">
        <f t="shared" si="8"/>
        <v>0</v>
      </c>
      <c r="E25" s="610">
        <f t="shared" si="8"/>
        <v>9674</v>
      </c>
      <c r="F25" s="610">
        <f t="shared" si="8"/>
        <v>0</v>
      </c>
      <c r="G25" s="610">
        <f t="shared" si="8"/>
        <v>0</v>
      </c>
      <c r="H25" s="610">
        <f t="shared" si="8"/>
        <v>0</v>
      </c>
      <c r="I25" s="611">
        <f t="shared" si="8"/>
        <v>0</v>
      </c>
      <c r="J25" s="612">
        <f t="shared" si="8"/>
        <v>9674</v>
      </c>
      <c r="K25" s="609">
        <f t="shared" si="8"/>
        <v>258185</v>
      </c>
      <c r="L25" s="609">
        <f t="shared" si="8"/>
        <v>52082</v>
      </c>
      <c r="M25" s="609">
        <f t="shared" si="8"/>
        <v>37003</v>
      </c>
      <c r="N25" s="609">
        <f t="shared" si="8"/>
        <v>0</v>
      </c>
      <c r="O25" s="609">
        <f t="shared" si="8"/>
        <v>0</v>
      </c>
      <c r="P25" s="609">
        <f t="shared" si="8"/>
        <v>0</v>
      </c>
      <c r="Q25" s="609">
        <f t="shared" si="8"/>
        <v>0</v>
      </c>
      <c r="R25" s="609">
        <f t="shared" si="8"/>
        <v>0</v>
      </c>
      <c r="S25" s="612">
        <f t="shared" si="8"/>
        <v>347270</v>
      </c>
      <c r="T25" s="609">
        <f t="shared" si="8"/>
        <v>337596</v>
      </c>
      <c r="U25" s="613">
        <f t="shared" si="8"/>
        <v>164722</v>
      </c>
      <c r="V25" s="612">
        <f t="shared" si="8"/>
        <v>172874</v>
      </c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</row>
    <row r="26" spans="1:41">
      <c r="A26" s="877">
        <f>+A24+1</f>
        <v>15</v>
      </c>
      <c r="B26" s="626" t="s">
        <v>417</v>
      </c>
      <c r="C26" s="598">
        <f>+SUMIF('13.mell_ÖNKfeladatok2019'!$B$5:$B$158,'14.mell_Önk kiegészítés2019'!$A26,'13.mell_ÖNKfeladatok2019'!I$5:I$158)</f>
        <v>0</v>
      </c>
      <c r="D26" s="598">
        <f>+SUMIF('13.mell_ÖNKfeladatok2019'!$B$5:$B$158,'14.mell_Önk kiegészítés2019'!$A26,'13.mell_ÖNKfeladatok2019'!J$5:J$158)</f>
        <v>0</v>
      </c>
      <c r="E26" s="598">
        <f>+SUMIF('13.mell_ÖNKfeladatok2019'!$B$5:$B$158,'14.mell_Önk kiegészítés2019'!$A26,'13.mell_ÖNKfeladatok2019'!K$5:K$158)</f>
        <v>28850</v>
      </c>
      <c r="F26" s="598">
        <f>+SUMIF('13.mell_ÖNKfeladatok2019'!$B$5:$B$158,'14.mell_Önk kiegészítés2019'!$A26,'13.mell_ÖNKfeladatok2019'!L$5:L$158)</f>
        <v>0</v>
      </c>
      <c r="G26" s="598">
        <f>+SUMIF('13.mell_ÖNKfeladatok2019'!$B$5:$B$158,'14.mell_Önk kiegészítés2019'!$A26,'13.mell_ÖNKfeladatok2019'!N$5:N$158)</f>
        <v>0</v>
      </c>
      <c r="H26" s="598">
        <f>+SUMIF('13.mell_ÖNKfeladatok2019'!$B$5:$B$158,'14.mell_Önk kiegészítés2019'!$A26,'13.mell_ÖNKfeladatok2019'!O$5:O$158)</f>
        <v>0</v>
      </c>
      <c r="I26" s="598">
        <f>+SUMIF('13.mell_ÖNKfeladatok2019'!$B$5:$B$158,'14.mell_Önk kiegészítés2019'!$A26,'13.mell_ÖNKfeladatok2019'!P$5:P$158)</f>
        <v>0</v>
      </c>
      <c r="J26" s="642">
        <f>SUM(C26:I26)</f>
        <v>28850</v>
      </c>
      <c r="K26" s="602">
        <f>+SUMIF('13.mell_ÖNKfeladatok2019'!$B$166:$B$319,'14.mell_Önk kiegészítés2019'!$A26,'13.mell_ÖNKfeladatok2019'!I$166:I$319)</f>
        <v>7922</v>
      </c>
      <c r="L26" s="602">
        <f>+SUMIF('13.mell_ÖNKfeladatok2019'!$B$166:$B$319,'14.mell_Önk kiegészítés2019'!$A26,'13.mell_ÖNKfeladatok2019'!J$166:J$319)</f>
        <v>1573</v>
      </c>
      <c r="M26" s="602">
        <f>+SUMIF('13.mell_ÖNKfeladatok2019'!$B$166:$B$319,'14.mell_Önk kiegészítés2019'!$A26,'13.mell_ÖNKfeladatok2019'!K$166:K$319)</f>
        <v>20680</v>
      </c>
      <c r="N26" s="602">
        <f>+SUMIF('13.mell_ÖNKfeladatok2019'!$B$166:$B$319,'14.mell_Önk kiegészítés2019'!$A26,'13.mell_ÖNKfeladatok2019'!L$166:L$319)</f>
        <v>0</v>
      </c>
      <c r="O26" s="602">
        <f>+SUMIF('13.mell_ÖNKfeladatok2019'!$B$166:$B$319,'14.mell_Önk kiegészítés2019'!$A26,'13.mell_ÖNKfeladatok2019'!M$166:M$319)</f>
        <v>0</v>
      </c>
      <c r="P26" s="602">
        <f>+SUMIF('13.mell_ÖNKfeladatok2019'!$B$166:$B$319,'14.mell_Önk kiegészítés2019'!$A26,'13.mell_ÖNKfeladatok2019'!O$166:O$319)</f>
        <v>0</v>
      </c>
      <c r="Q26" s="602">
        <f>+SUMIF('13.mell_ÖNKfeladatok2019'!$B$166:$B$319,'14.mell_Önk kiegészítés2019'!$A26,'13.mell_ÖNKfeladatok2019'!P$166:P$319)</f>
        <v>0</v>
      </c>
      <c r="R26" s="602">
        <f>+SUMIF('13.mell_ÖNKfeladatok2019'!$B$166:$B$319,'14.mell_Önk kiegészítés2019'!$A26,'13.mell_ÖNKfeladatok2019'!Q$166:Q$319)</f>
        <v>0</v>
      </c>
      <c r="S26" s="642">
        <f>SUM(K26:R26)</f>
        <v>30175</v>
      </c>
      <c r="T26" s="603">
        <f>S26-J26</f>
        <v>1325</v>
      </c>
      <c r="U26" s="1358">
        <f>+ROUND(SUMIF('10.mell_támogatások2019'!$B$6:$B$136,'14.mell_Önk kiegészítés2019'!$A26,'10.mell_támogatások2019'!D$6:D$136)/1000,0)</f>
        <v>0</v>
      </c>
      <c r="V26" s="604">
        <f>+T26-U26</f>
        <v>1325</v>
      </c>
    </row>
    <row r="27" spans="1:41">
      <c r="A27" s="877">
        <f>+A26+1</f>
        <v>16</v>
      </c>
      <c r="B27" s="605" t="s">
        <v>656</v>
      </c>
      <c r="C27" s="606">
        <f>+SUMIF('13.mell_ÖNKfeladatok2019'!$B$5:$B$158,'14.mell_Önk kiegészítés2019'!$A27,'13.mell_ÖNKfeladatok2019'!I$5:I$158)</f>
        <v>0</v>
      </c>
      <c r="D27" s="606">
        <f>+SUMIF('13.mell_ÖNKfeladatok2019'!$B$5:$B$158,'14.mell_Önk kiegészítés2019'!$A27,'13.mell_ÖNKfeladatok2019'!J$5:J$158)</f>
        <v>0</v>
      </c>
      <c r="E27" s="606">
        <f>+SUMIF('13.mell_ÖNKfeladatok2019'!$B$5:$B$158,'14.mell_Önk kiegészítés2019'!$A27,'13.mell_ÖNKfeladatok2019'!K$5:K$158)</f>
        <v>0</v>
      </c>
      <c r="F27" s="606">
        <f>+SUMIF('13.mell_ÖNKfeladatok2019'!$B$5:$B$158,'14.mell_Önk kiegészítés2019'!$A27,'13.mell_ÖNKfeladatok2019'!L$5:L$158)</f>
        <v>0</v>
      </c>
      <c r="G27" s="606">
        <f>+SUMIF('13.mell_ÖNKfeladatok2019'!$B$5:$B$158,'14.mell_Önk kiegészítés2019'!$A27,'13.mell_ÖNKfeladatok2019'!N$5:N$158)</f>
        <v>0</v>
      </c>
      <c r="H27" s="606">
        <f>+SUMIF('13.mell_ÖNKfeladatok2019'!$B$5:$B$158,'14.mell_Önk kiegészítés2019'!$A27,'13.mell_ÖNKfeladatok2019'!O$5:O$158)</f>
        <v>0</v>
      </c>
      <c r="I27" s="606">
        <f>+SUMIF('13.mell_ÖNKfeladatok2019'!$B$5:$B$158,'14.mell_Önk kiegészítés2019'!$A27,'13.mell_ÖNKfeladatok2019'!P$5:P$158)</f>
        <v>0</v>
      </c>
      <c r="J27" s="643">
        <f>SUM(C27:I27)</f>
        <v>0</v>
      </c>
      <c r="K27" s="602">
        <f>+SUMIF('13.mell_ÖNKfeladatok2019'!$B$166:$B$319,'14.mell_Önk kiegészítés2019'!$A27,'13.mell_ÖNKfeladatok2019'!I$166:I$319)</f>
        <v>6326</v>
      </c>
      <c r="L27" s="602">
        <f>+SUMIF('13.mell_ÖNKfeladatok2019'!$B$166:$B$319,'14.mell_Önk kiegészítés2019'!$A27,'13.mell_ÖNKfeladatok2019'!J$166:J$319)</f>
        <v>1156</v>
      </c>
      <c r="M27" s="602">
        <f>+SUMIF('13.mell_ÖNKfeladatok2019'!$B$166:$B$319,'14.mell_Önk kiegészítés2019'!$A27,'13.mell_ÖNKfeladatok2019'!K$166:K$319)</f>
        <v>381</v>
      </c>
      <c r="N27" s="602">
        <f>+SUMIF('13.mell_ÖNKfeladatok2019'!$B$166:$B$319,'14.mell_Önk kiegészítés2019'!$A27,'13.mell_ÖNKfeladatok2019'!L$166:L$319)</f>
        <v>0</v>
      </c>
      <c r="O27" s="602">
        <f>+SUMIF('13.mell_ÖNKfeladatok2019'!$B$166:$B$319,'14.mell_Önk kiegészítés2019'!$A27,'13.mell_ÖNKfeladatok2019'!M$166:M$319)</f>
        <v>0</v>
      </c>
      <c r="P27" s="602">
        <f>+SUMIF('13.mell_ÖNKfeladatok2019'!$B$166:$B$319,'14.mell_Önk kiegészítés2019'!$A27,'13.mell_ÖNKfeladatok2019'!O$166:O$319)</f>
        <v>0</v>
      </c>
      <c r="Q27" s="602">
        <f>+SUMIF('13.mell_ÖNKfeladatok2019'!$B$166:$B$319,'14.mell_Önk kiegészítés2019'!$A27,'13.mell_ÖNKfeladatok2019'!P$166:P$319)</f>
        <v>0</v>
      </c>
      <c r="R27" s="602">
        <f>+SUMIF('13.mell_ÖNKfeladatok2019'!$B$166:$B$319,'14.mell_Önk kiegészítés2019'!$A27,'13.mell_ÖNKfeladatok2019'!Q$166:Q$319)</f>
        <v>0</v>
      </c>
      <c r="S27" s="642">
        <f>SUM(K27:R27)</f>
        <v>7863</v>
      </c>
      <c r="T27" s="603">
        <f>S27-J27</f>
        <v>7863</v>
      </c>
      <c r="U27" s="1358">
        <f>+ROUND(SUMIF('10.mell_támogatások2019'!$B$6:$B$136,'14.mell_Önk kiegészítés2019'!$A27,'10.mell_támogatások2019'!D$6:D$136)/1000,0)</f>
        <v>0</v>
      </c>
      <c r="V27" s="604">
        <f>+T27-U27</f>
        <v>7863</v>
      </c>
    </row>
    <row r="28" spans="1:41" ht="12.75" thickBot="1">
      <c r="A28" s="877">
        <f>+A27+1</f>
        <v>17</v>
      </c>
      <c r="B28" s="605" t="s">
        <v>904</v>
      </c>
      <c r="C28" s="606">
        <f>+SUMIF('13.mell_ÖNKfeladatok2019'!$B$5:$B$158,'14.mell_Önk kiegészítés2019'!$A28,'13.mell_ÖNKfeladatok2019'!I$5:I$158)</f>
        <v>0</v>
      </c>
      <c r="D28" s="606">
        <f>+SUMIF('13.mell_ÖNKfeladatok2019'!$B$5:$B$158,'14.mell_Önk kiegészítés2019'!$A28,'13.mell_ÖNKfeladatok2019'!J$5:J$158)</f>
        <v>0</v>
      </c>
      <c r="E28" s="606">
        <f>+SUMIF('13.mell_ÖNKfeladatok2019'!$B$5:$B$158,'14.mell_Önk kiegészítés2019'!$A28,'13.mell_ÖNKfeladatok2019'!K$5:K$158)</f>
        <v>0</v>
      </c>
      <c r="F28" s="606">
        <f>+SUMIF('13.mell_ÖNKfeladatok2019'!$B$5:$B$158,'14.mell_Önk kiegészítés2019'!$A28,'13.mell_ÖNKfeladatok2019'!L$5:L$158)</f>
        <v>0</v>
      </c>
      <c r="G28" s="606">
        <f>+SUMIF('13.mell_ÖNKfeladatok2019'!$B$5:$B$158,'14.mell_Önk kiegészítés2019'!$A28,'13.mell_ÖNKfeladatok2019'!N$5:N$158)</f>
        <v>0</v>
      </c>
      <c r="H28" s="606">
        <f>+SUMIF('13.mell_ÖNKfeladatok2019'!$B$5:$B$158,'14.mell_Önk kiegészítés2019'!$A28,'13.mell_ÖNKfeladatok2019'!O$5:O$158)</f>
        <v>0</v>
      </c>
      <c r="I28" s="606">
        <f>+SUMIF('13.mell_ÖNKfeladatok2019'!$B$5:$B$158,'14.mell_Önk kiegészítés2019'!$A28,'13.mell_ÖNKfeladatok2019'!P$5:P$158)</f>
        <v>0</v>
      </c>
      <c r="J28" s="643">
        <f>SUM(C28:I28)</f>
        <v>0</v>
      </c>
      <c r="K28" s="602">
        <f>+SUMIF('13.mell_ÖNKfeladatok2019'!$B$166:$B$319,'14.mell_Önk kiegészítés2019'!$A28,'13.mell_ÖNKfeladatok2019'!I$166:I$319)</f>
        <v>0</v>
      </c>
      <c r="L28" s="602">
        <f>+SUMIF('13.mell_ÖNKfeladatok2019'!$B$166:$B$319,'14.mell_Önk kiegészítés2019'!$A28,'13.mell_ÖNKfeladatok2019'!J$166:J$319)</f>
        <v>0</v>
      </c>
      <c r="M28" s="602">
        <f>+SUMIF('13.mell_ÖNKfeladatok2019'!$B$166:$B$319,'14.mell_Önk kiegészítés2019'!$A28,'13.mell_ÖNKfeladatok2019'!K$166:K$319)</f>
        <v>0</v>
      </c>
      <c r="N28" s="602">
        <f>+SUMIF('13.mell_ÖNKfeladatok2019'!$B$166:$B$319,'14.mell_Önk kiegészítés2019'!$A28,'13.mell_ÖNKfeladatok2019'!L$166:L$319)</f>
        <v>0</v>
      </c>
      <c r="O28" s="602">
        <f>+SUMIF('13.mell_ÖNKfeladatok2019'!$B$166:$B$319,'14.mell_Önk kiegészítés2019'!$A28,'13.mell_ÖNKfeladatok2019'!M$166:M$319)</f>
        <v>0</v>
      </c>
      <c r="P28" s="602">
        <f>+SUMIF('13.mell_ÖNKfeladatok2019'!$B$166:$B$319,'14.mell_Önk kiegészítés2019'!$A28,'13.mell_ÖNKfeladatok2019'!O$166:O$319)</f>
        <v>0</v>
      </c>
      <c r="Q28" s="602">
        <f>+SUMIF('13.mell_ÖNKfeladatok2019'!$B$166:$B$319,'14.mell_Önk kiegészítés2019'!$A28,'13.mell_ÖNKfeladatok2019'!P$166:P$319)</f>
        <v>0</v>
      </c>
      <c r="R28" s="602">
        <f>+SUMIF('13.mell_ÖNKfeladatok2019'!$B$166:$B$319,'14.mell_Önk kiegészítés2019'!$A28,'13.mell_ÖNKfeladatok2019'!Q$166:Q$319)</f>
        <v>0</v>
      </c>
      <c r="S28" s="642">
        <f>SUM(K28:R28)</f>
        <v>0</v>
      </c>
      <c r="T28" s="603">
        <f>S28-J28</f>
        <v>0</v>
      </c>
      <c r="U28" s="1358">
        <f>+ROUND(SUMIF('10.mell_támogatások2019'!$B$6:$B$136,'14.mell_Önk kiegészítés2019'!$A28,'10.mell_támogatások2019'!D$6:D$136)/1000,0)</f>
        <v>0</v>
      </c>
      <c r="V28" s="604">
        <f>+T28-U28</f>
        <v>0</v>
      </c>
    </row>
    <row r="29" spans="1:41" s="593" customFormat="1" ht="12.75" thickBot="1">
      <c r="A29" s="607" t="s">
        <v>641</v>
      </c>
      <c r="B29" s="608" t="s">
        <v>880</v>
      </c>
      <c r="C29" s="609">
        <f>SUM(C26:C28)</f>
        <v>0</v>
      </c>
      <c r="D29" s="610">
        <f t="shared" ref="D29:V29" si="9">SUM(D26:D28)</f>
        <v>0</v>
      </c>
      <c r="E29" s="610">
        <f t="shared" si="9"/>
        <v>28850</v>
      </c>
      <c r="F29" s="610">
        <f t="shared" si="9"/>
        <v>0</v>
      </c>
      <c r="G29" s="610">
        <f t="shared" si="9"/>
        <v>0</v>
      </c>
      <c r="H29" s="610">
        <f t="shared" si="9"/>
        <v>0</v>
      </c>
      <c r="I29" s="613">
        <f t="shared" si="9"/>
        <v>0</v>
      </c>
      <c r="J29" s="612">
        <f t="shared" si="9"/>
        <v>28850</v>
      </c>
      <c r="K29" s="609">
        <f t="shared" si="9"/>
        <v>14248</v>
      </c>
      <c r="L29" s="609">
        <f t="shared" si="9"/>
        <v>2729</v>
      </c>
      <c r="M29" s="609">
        <f t="shared" si="9"/>
        <v>21061</v>
      </c>
      <c r="N29" s="609">
        <f t="shared" si="9"/>
        <v>0</v>
      </c>
      <c r="O29" s="609">
        <f t="shared" si="9"/>
        <v>0</v>
      </c>
      <c r="P29" s="609">
        <f t="shared" si="9"/>
        <v>0</v>
      </c>
      <c r="Q29" s="609">
        <f t="shared" si="9"/>
        <v>0</v>
      </c>
      <c r="R29" s="609">
        <f t="shared" si="9"/>
        <v>0</v>
      </c>
      <c r="S29" s="612">
        <f t="shared" si="9"/>
        <v>38038</v>
      </c>
      <c r="T29" s="609">
        <f t="shared" si="9"/>
        <v>9188</v>
      </c>
      <c r="U29" s="613">
        <f t="shared" si="9"/>
        <v>0</v>
      </c>
      <c r="V29" s="612">
        <f t="shared" si="9"/>
        <v>9188</v>
      </c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</row>
    <row r="30" spans="1:41" ht="12.75" thickBot="1">
      <c r="A30" s="877">
        <f>+A28+1</f>
        <v>18</v>
      </c>
      <c r="B30" s="614" t="s">
        <v>881</v>
      </c>
      <c r="C30" s="615">
        <f>+SUMIF('13.mell_ÖNKfeladatok2019'!$B$5:$B$158,'14.mell_Önk kiegészítés2019'!$A30,'13.mell_ÖNKfeladatok2019'!I$5:I$158)</f>
        <v>0</v>
      </c>
      <c r="D30" s="615">
        <f>+SUMIF('13.mell_ÖNKfeladatok2019'!$B$5:$B$158,'14.mell_Önk kiegészítés2019'!$A30,'13.mell_ÖNKfeladatok2019'!J$5:J$158)</f>
        <v>0</v>
      </c>
      <c r="E30" s="615">
        <f>+SUMIF('13.mell_ÖNKfeladatok2019'!$B$5:$B$158,'14.mell_Önk kiegészítés2019'!$A30,'13.mell_ÖNKfeladatok2019'!K$5:K$158)</f>
        <v>0</v>
      </c>
      <c r="F30" s="615">
        <f>+SUMIF('13.mell_ÖNKfeladatok2019'!$B$5:$B$158,'14.mell_Önk kiegészítés2019'!$A30,'13.mell_ÖNKfeladatok2019'!L$5:L$158)</f>
        <v>0</v>
      </c>
      <c r="G30" s="615">
        <f>+SUMIF('13.mell_ÖNKfeladatok2019'!$B$5:$B$158,'14.mell_Önk kiegészítés2019'!$A30,'13.mell_ÖNKfeladatok2019'!N$5:N$158)</f>
        <v>0</v>
      </c>
      <c r="H30" s="615">
        <f>+SUMIF('13.mell_ÖNKfeladatok2019'!$B$5:$B$158,'14.mell_Önk kiegészítés2019'!$A30,'13.mell_ÖNKfeladatok2019'!O$5:O$158)</f>
        <v>0</v>
      </c>
      <c r="I30" s="615">
        <f>+SUMIF('13.mell_ÖNKfeladatok2019'!$B$5:$B$158,'14.mell_Önk kiegészítés2019'!$A30,'13.mell_ÖNKfeladatok2019'!P$5:P$158)</f>
        <v>0</v>
      </c>
      <c r="J30" s="644">
        <f>SUM(C30:I30)</f>
        <v>0</v>
      </c>
      <c r="K30" s="602">
        <f>+SUMIF('13.mell_ÖNKfeladatok2019'!$B$166:$B$319,'14.mell_Önk kiegészítés2019'!$A30,'13.mell_ÖNKfeladatok2019'!I$166:I$319)</f>
        <v>0</v>
      </c>
      <c r="L30" s="602">
        <f>+SUMIF('13.mell_ÖNKfeladatok2019'!$B$166:$B$319,'14.mell_Önk kiegészítés2019'!$A30,'13.mell_ÖNKfeladatok2019'!J$166:J$319)</f>
        <v>0</v>
      </c>
      <c r="M30" s="602">
        <f>+SUMIF('13.mell_ÖNKfeladatok2019'!$B$166:$B$319,'14.mell_Önk kiegészítés2019'!$A30,'13.mell_ÖNKfeladatok2019'!K$166:K$319)</f>
        <v>0</v>
      </c>
      <c r="N30" s="602">
        <f>+SUMIF('13.mell_ÖNKfeladatok2019'!$B$166:$B$319,'14.mell_Önk kiegészítés2019'!$A30,'13.mell_ÖNKfeladatok2019'!L$166:L$319)</f>
        <v>0</v>
      </c>
      <c r="O30" s="602">
        <f>+SUMIF('13.mell_ÖNKfeladatok2019'!$B$166:$B$319,'14.mell_Önk kiegészítés2019'!$A30,'13.mell_ÖNKfeladatok2019'!M$166:M$319)</f>
        <v>0</v>
      </c>
      <c r="P30" s="602">
        <f>+SUMIF('13.mell_ÖNKfeladatok2019'!$B$166:$B$319,'14.mell_Önk kiegészítés2019'!$A30,'13.mell_ÖNKfeladatok2019'!O$166:O$319)</f>
        <v>0</v>
      </c>
      <c r="Q30" s="602">
        <f>+SUMIF('13.mell_ÖNKfeladatok2019'!$B$166:$B$319,'14.mell_Önk kiegészítés2019'!$A30,'13.mell_ÖNKfeladatok2019'!P$166:P$319)</f>
        <v>0</v>
      </c>
      <c r="R30" s="602">
        <f>+SUMIF('13.mell_ÖNKfeladatok2019'!$B$166:$B$319,'14.mell_Önk kiegészítés2019'!$A30,'13.mell_ÖNKfeladatok2019'!Q$166:Q$319)</f>
        <v>0</v>
      </c>
      <c r="S30" s="642">
        <f>SUM(K30:R30)</f>
        <v>0</v>
      </c>
      <c r="T30" s="603">
        <f>S30-J30</f>
        <v>0</v>
      </c>
      <c r="U30" s="1358">
        <f>+ROUND(SUMIF('10.mell_támogatások2019'!$B$6:$B$136,'14.mell_Önk kiegészítés2019'!$A30,'10.mell_támogatások2019'!D$6:D$136)/1000,0)</f>
        <v>0</v>
      </c>
      <c r="V30" s="604">
        <f>+T30-U30</f>
        <v>0</v>
      </c>
    </row>
    <row r="31" spans="1:41" s="593" customFormat="1" ht="12.75" thickBot="1">
      <c r="A31" s="607" t="s">
        <v>755</v>
      </c>
      <c r="B31" s="608" t="s">
        <v>881</v>
      </c>
      <c r="C31" s="609">
        <f>SUM(C30)</f>
        <v>0</v>
      </c>
      <c r="D31" s="610">
        <f t="shared" ref="D31:V31" si="10">SUM(D30)</f>
        <v>0</v>
      </c>
      <c r="E31" s="610">
        <f t="shared" si="10"/>
        <v>0</v>
      </c>
      <c r="F31" s="610">
        <f t="shared" si="10"/>
        <v>0</v>
      </c>
      <c r="G31" s="610">
        <f t="shared" si="10"/>
        <v>0</v>
      </c>
      <c r="H31" s="610">
        <f t="shared" si="10"/>
        <v>0</v>
      </c>
      <c r="I31" s="613">
        <f t="shared" si="10"/>
        <v>0</v>
      </c>
      <c r="J31" s="612">
        <f t="shared" si="10"/>
        <v>0</v>
      </c>
      <c r="K31" s="609">
        <f t="shared" si="10"/>
        <v>0</v>
      </c>
      <c r="L31" s="609">
        <f t="shared" si="10"/>
        <v>0</v>
      </c>
      <c r="M31" s="609">
        <f t="shared" si="10"/>
        <v>0</v>
      </c>
      <c r="N31" s="609">
        <f t="shared" si="10"/>
        <v>0</v>
      </c>
      <c r="O31" s="609">
        <f t="shared" si="10"/>
        <v>0</v>
      </c>
      <c r="P31" s="609">
        <f t="shared" si="10"/>
        <v>0</v>
      </c>
      <c r="Q31" s="609">
        <f t="shared" si="10"/>
        <v>0</v>
      </c>
      <c r="R31" s="609">
        <f t="shared" si="10"/>
        <v>0</v>
      </c>
      <c r="S31" s="612">
        <f t="shared" si="10"/>
        <v>0</v>
      </c>
      <c r="T31" s="609">
        <f t="shared" si="10"/>
        <v>0</v>
      </c>
      <c r="U31" s="613">
        <f t="shared" si="10"/>
        <v>0</v>
      </c>
      <c r="V31" s="612">
        <f t="shared" si="10"/>
        <v>0</v>
      </c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</row>
    <row r="32" spans="1:41" s="593" customFormat="1" ht="12.75" thickBot="1">
      <c r="A32" s="616" t="s">
        <v>22</v>
      </c>
      <c r="B32" s="617" t="s">
        <v>882</v>
      </c>
      <c r="C32" s="618">
        <f>+C25+C29+C31</f>
        <v>0</v>
      </c>
      <c r="D32" s="619">
        <f t="shared" ref="D32:V32" si="11">+D25+D29+D31</f>
        <v>0</v>
      </c>
      <c r="E32" s="619">
        <f t="shared" si="11"/>
        <v>38524</v>
      </c>
      <c r="F32" s="619">
        <f t="shared" si="11"/>
        <v>0</v>
      </c>
      <c r="G32" s="619">
        <f t="shared" si="11"/>
        <v>0</v>
      </c>
      <c r="H32" s="619">
        <f t="shared" si="11"/>
        <v>0</v>
      </c>
      <c r="I32" s="620">
        <f t="shared" si="11"/>
        <v>0</v>
      </c>
      <c r="J32" s="621">
        <f t="shared" si="11"/>
        <v>38524</v>
      </c>
      <c r="K32" s="618">
        <f t="shared" si="11"/>
        <v>272433</v>
      </c>
      <c r="L32" s="618">
        <f t="shared" si="11"/>
        <v>54811</v>
      </c>
      <c r="M32" s="618">
        <f t="shared" si="11"/>
        <v>58064</v>
      </c>
      <c r="N32" s="618">
        <f t="shared" si="11"/>
        <v>0</v>
      </c>
      <c r="O32" s="618">
        <f t="shared" si="11"/>
        <v>0</v>
      </c>
      <c r="P32" s="618">
        <f t="shared" si="11"/>
        <v>0</v>
      </c>
      <c r="Q32" s="618">
        <f t="shared" si="11"/>
        <v>0</v>
      </c>
      <c r="R32" s="618">
        <f t="shared" si="11"/>
        <v>0</v>
      </c>
      <c r="S32" s="621">
        <f t="shared" si="11"/>
        <v>385308</v>
      </c>
      <c r="T32" s="618">
        <f t="shared" si="11"/>
        <v>346784</v>
      </c>
      <c r="U32" s="620">
        <f t="shared" si="11"/>
        <v>164722</v>
      </c>
      <c r="V32" s="621">
        <f t="shared" si="11"/>
        <v>182062</v>
      </c>
      <c r="X32" s="593">
        <f>+'13.mell_ÖNKfeladatok2019'!G110-J32</f>
        <v>0</v>
      </c>
      <c r="Y32" s="593">
        <f>+'13.mell_ÖNKfeladatok2019'!G271-S32</f>
        <v>0</v>
      </c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</row>
    <row r="33" spans="1:41" s="593" customFormat="1" ht="12.75" thickBot="1">
      <c r="A33" s="627"/>
      <c r="B33" s="628"/>
      <c r="C33" s="629"/>
      <c r="D33" s="629"/>
      <c r="E33" s="629"/>
      <c r="F33" s="629"/>
      <c r="G33" s="629"/>
      <c r="H33" s="629"/>
      <c r="I33" s="921"/>
      <c r="J33" s="632"/>
      <c r="K33" s="629"/>
      <c r="L33" s="629"/>
      <c r="M33" s="629"/>
      <c r="N33" s="629"/>
      <c r="O33" s="629"/>
      <c r="P33" s="629"/>
      <c r="Q33" s="629"/>
      <c r="R33" s="629"/>
      <c r="S33" s="632"/>
      <c r="T33" s="629"/>
      <c r="U33" s="631"/>
      <c r="V33" s="632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</row>
    <row r="34" spans="1:41">
      <c r="A34" s="876">
        <f>+A30+1</f>
        <v>19</v>
      </c>
      <c r="B34" s="781" t="s">
        <v>1095</v>
      </c>
      <c r="C34" s="924">
        <f>+SUMIF('13.mell_ÖNKfeladatok2019'!$B$5:$B$158,'14.mell_Önk kiegészítés2019'!$A34,'13.mell_ÖNKfeladatok2019'!I$5:I$158)</f>
        <v>0</v>
      </c>
      <c r="D34" s="924">
        <f>+SUMIF('13.mell_ÖNKfeladatok2019'!$B$5:$B$158,'14.mell_Önk kiegészítés2019'!$A34,'13.mell_ÖNKfeladatok2019'!J$5:J$158)</f>
        <v>0</v>
      </c>
      <c r="E34" s="924">
        <f>+SUMIF('13.mell_ÖNKfeladatok2019'!$B$5:$B$158,'14.mell_Önk kiegészítés2019'!$A34,'13.mell_ÖNKfeladatok2019'!K$5:K$158)</f>
        <v>0</v>
      </c>
      <c r="F34" s="924">
        <f>+SUMIF('13.mell_ÖNKfeladatok2019'!$B$5:$B$158,'14.mell_Önk kiegészítés2019'!$A34,'13.mell_ÖNKfeladatok2019'!L$5:L$158)</f>
        <v>0</v>
      </c>
      <c r="G34" s="924">
        <f>+SUMIF('13.mell_ÖNKfeladatok2019'!$B$5:$B$158,'14.mell_Önk kiegészítés2019'!$A34,'13.mell_ÖNKfeladatok2019'!N$5:N$158)</f>
        <v>0</v>
      </c>
      <c r="H34" s="924">
        <f>+SUMIF('13.mell_ÖNKfeladatok2019'!$B$5:$B$158,'14.mell_Önk kiegészítés2019'!$A34,'13.mell_ÖNKfeladatok2019'!O$5:O$158)</f>
        <v>0</v>
      </c>
      <c r="I34" s="924">
        <f>+SUMIF('13.mell_ÖNKfeladatok2019'!$B$5:$B$158,'14.mell_Önk kiegészítés2019'!$A34,'13.mell_ÖNKfeladatok2019'!P$5:P$158)</f>
        <v>0</v>
      </c>
      <c r="J34" s="782">
        <f>SUM(C34:I34)</f>
        <v>0</v>
      </c>
      <c r="K34" s="924">
        <f>+SUMIF('13.mell_ÖNKfeladatok2019'!$B$166:$B$319,'14.mell_Önk kiegészítés2019'!$A34,'13.mell_ÖNKfeladatok2019'!I$166:I$319)</f>
        <v>206947</v>
      </c>
      <c r="L34" s="924">
        <f>+SUMIF('13.mell_ÖNKfeladatok2019'!$B$166:$B$319,'14.mell_Önk kiegészítés2019'!$A34,'13.mell_ÖNKfeladatok2019'!J$166:J$319)</f>
        <v>45351</v>
      </c>
      <c r="M34" s="924">
        <f>+SUMIF('13.mell_ÖNKfeladatok2019'!$B$166:$B$319,'14.mell_Önk kiegészítés2019'!$A34,'13.mell_ÖNKfeladatok2019'!K$166:K$319)</f>
        <v>26335</v>
      </c>
      <c r="N34" s="924">
        <f>+SUMIF('13.mell_ÖNKfeladatok2019'!$B$166:$B$319,'14.mell_Önk kiegészítés2019'!$A34,'13.mell_ÖNKfeladatok2019'!L$166:L$319)</f>
        <v>0</v>
      </c>
      <c r="O34" s="924">
        <f>+SUMIF('13.mell_ÖNKfeladatok2019'!$B$166:$B$319,'14.mell_Önk kiegészítés2019'!$A34,'13.mell_ÖNKfeladatok2019'!M$166:M$319)</f>
        <v>0</v>
      </c>
      <c r="P34" s="924">
        <f>+SUMIF('13.mell_ÖNKfeladatok2019'!$B$166:$B$319,'14.mell_Önk kiegészítés2019'!$A34,'13.mell_ÖNKfeladatok2019'!O$166:O$319)</f>
        <v>800</v>
      </c>
      <c r="Q34" s="924">
        <f>+SUMIF('13.mell_ÖNKfeladatok2019'!$B$166:$B$319,'14.mell_Önk kiegészítés2019'!$A34,'13.mell_ÖNKfeladatok2019'!P$166:P$319)</f>
        <v>0</v>
      </c>
      <c r="R34" s="924">
        <f>+SUMIF('13.mell_ÖNKfeladatok2019'!$B$166:$B$319,'14.mell_Önk kiegészítés2019'!$A34,'13.mell_ÖNKfeladatok2019'!Q$166:Q$319)</f>
        <v>0</v>
      </c>
      <c r="S34" s="782">
        <f>SUM(K34:R34)</f>
        <v>279433</v>
      </c>
      <c r="T34" s="783">
        <f>S34-J34</f>
        <v>279433</v>
      </c>
      <c r="U34" s="1360">
        <f>+ROUND(SUMIF('10.mell_támogatások2019'!$B$6:$B$136,'14.mell_Önk kiegészítés2019'!$A34,'10.mell_támogatások2019'!D$6:D$136)/1000,0)</f>
        <v>232153</v>
      </c>
      <c r="V34" s="784">
        <f>+T34-U34</f>
        <v>47280</v>
      </c>
    </row>
    <row r="35" spans="1:41">
      <c r="A35" s="877">
        <f>+A34+1</f>
        <v>20</v>
      </c>
      <c r="B35" s="601" t="s">
        <v>1174</v>
      </c>
      <c r="C35" s="602">
        <f>+SUMIF('13.mell_ÖNKfeladatok2019'!$B$5:$B$158,'14.mell_Önk kiegészítés2019'!$A35,'13.mell_ÖNKfeladatok2019'!I$5:I$158)</f>
        <v>0</v>
      </c>
      <c r="D35" s="602">
        <f>+SUMIF('13.mell_ÖNKfeladatok2019'!$B$5:$B$158,'14.mell_Önk kiegészítés2019'!$A35,'13.mell_ÖNKfeladatok2019'!J$5:J$158)</f>
        <v>0</v>
      </c>
      <c r="E35" s="602">
        <f>+SUMIF('13.mell_ÖNKfeladatok2019'!$B$5:$B$158,'14.mell_Önk kiegészítés2019'!$A35,'13.mell_ÖNKfeladatok2019'!K$5:K$158)</f>
        <v>19872</v>
      </c>
      <c r="F35" s="602">
        <f>+SUMIF('13.mell_ÖNKfeladatok2019'!$B$5:$B$158,'14.mell_Önk kiegészítés2019'!$A35,'13.mell_ÖNKfeladatok2019'!L$5:L$158)</f>
        <v>0</v>
      </c>
      <c r="G35" s="602">
        <f>+SUMIF('13.mell_ÖNKfeladatok2019'!$B$5:$B$158,'14.mell_Önk kiegészítés2019'!$A35,'13.mell_ÖNKfeladatok2019'!N$5:N$158)</f>
        <v>0</v>
      </c>
      <c r="H35" s="602">
        <f>+SUMIF('13.mell_ÖNKfeladatok2019'!$B$5:$B$158,'14.mell_Önk kiegészítés2019'!$A35,'13.mell_ÖNKfeladatok2019'!O$5:O$158)</f>
        <v>0</v>
      </c>
      <c r="I35" s="602">
        <f>+SUMIF('13.mell_ÖNKfeladatok2019'!$B$5:$B$158,'14.mell_Önk kiegészítés2019'!$A35,'13.mell_ÖNKfeladatok2019'!P$5:P$158)</f>
        <v>0</v>
      </c>
      <c r="J35" s="642">
        <f>SUM(C35:I35)</f>
        <v>19872</v>
      </c>
      <c r="K35" s="602">
        <f>+SUMIF('13.mell_ÖNKfeladatok2019'!$B$166:$B$319,'14.mell_Önk kiegészítés2019'!$A35,'13.mell_ÖNKfeladatok2019'!I$166:I$319)</f>
        <v>0</v>
      </c>
      <c r="L35" s="602">
        <f>+SUMIF('13.mell_ÖNKfeladatok2019'!$B$166:$B$319,'14.mell_Önk kiegészítés2019'!$A35,'13.mell_ÖNKfeladatok2019'!J$166:J$319)</f>
        <v>0</v>
      </c>
      <c r="M35" s="602">
        <f>+SUMIF('13.mell_ÖNKfeladatok2019'!$B$166:$B$319,'14.mell_Önk kiegészítés2019'!$A35,'13.mell_ÖNKfeladatok2019'!K$166:K$319)</f>
        <v>82181</v>
      </c>
      <c r="N35" s="602">
        <f>+SUMIF('13.mell_ÖNKfeladatok2019'!$B$166:$B$319,'14.mell_Önk kiegészítés2019'!$A35,'13.mell_ÖNKfeladatok2019'!L$166:L$319)</f>
        <v>0</v>
      </c>
      <c r="O35" s="602">
        <f>+SUMIF('13.mell_ÖNKfeladatok2019'!$B$166:$B$319,'14.mell_Önk kiegészítés2019'!$A35,'13.mell_ÖNKfeladatok2019'!M$166:M$319)</f>
        <v>0</v>
      </c>
      <c r="P35" s="602">
        <f>+SUMIF('13.mell_ÖNKfeladatok2019'!$B$166:$B$319,'14.mell_Önk kiegészítés2019'!$A35,'13.mell_ÖNKfeladatok2019'!O$166:O$319)</f>
        <v>0</v>
      </c>
      <c r="Q35" s="602">
        <f>+SUMIF('13.mell_ÖNKfeladatok2019'!$B$166:$B$319,'14.mell_Önk kiegészítés2019'!$A35,'13.mell_ÖNKfeladatok2019'!P$166:P$319)</f>
        <v>0</v>
      </c>
      <c r="R35" s="602">
        <f>+SUMIF('13.mell_ÖNKfeladatok2019'!$B$166:$B$319,'14.mell_Önk kiegészítés2019'!$A35,'13.mell_ÖNKfeladatok2019'!Q$166:Q$319)</f>
        <v>0</v>
      </c>
      <c r="S35" s="642">
        <f>SUM(K35:R35)</f>
        <v>82181</v>
      </c>
      <c r="T35" s="603">
        <f>S35-J35</f>
        <v>62309</v>
      </c>
      <c r="U35" s="1358">
        <f>+ROUND(SUMIF('10.mell_támogatások2019'!$B$6:$B$136,'14.mell_Önk kiegészítés2019'!$A35,'10.mell_támogatások2019'!D$6:D$136)/1000,0)-1490</f>
        <v>62583</v>
      </c>
      <c r="V35" s="604">
        <f>+T35-U35</f>
        <v>-274</v>
      </c>
      <c r="AH35" s="257">
        <f>-(1163+227+100)</f>
        <v>-1490</v>
      </c>
    </row>
    <row r="36" spans="1:41" ht="12.75" thickBot="1">
      <c r="A36" s="922">
        <f>+A35+1</f>
        <v>21</v>
      </c>
      <c r="B36" s="614" t="s">
        <v>1167</v>
      </c>
      <c r="C36" s="615">
        <f>+SUMIF('13.mell_ÖNKfeladatok2019'!$B$5:$B$158,'14.mell_Önk kiegészítés2019'!$A36,'13.mell_ÖNKfeladatok2019'!I$5:I$158)</f>
        <v>0</v>
      </c>
      <c r="D36" s="615">
        <f>+SUMIF('13.mell_ÖNKfeladatok2019'!$B$5:$B$158,'14.mell_Önk kiegészítés2019'!$A36,'13.mell_ÖNKfeladatok2019'!J$5:J$158)</f>
        <v>0</v>
      </c>
      <c r="E36" s="615">
        <f>+SUMIF('13.mell_ÖNKfeladatok2019'!$B$5:$B$158,'14.mell_Önk kiegészítés2019'!$A36,'13.mell_ÖNKfeladatok2019'!K$5:K$158)</f>
        <v>0</v>
      </c>
      <c r="F36" s="615">
        <f>+SUMIF('13.mell_ÖNKfeladatok2019'!$B$5:$B$158,'14.mell_Önk kiegészítés2019'!$A36,'13.mell_ÖNKfeladatok2019'!L$5:L$158)</f>
        <v>0</v>
      </c>
      <c r="G36" s="615">
        <f>+SUMIF('13.mell_ÖNKfeladatok2019'!$B$5:$B$158,'14.mell_Önk kiegészítés2019'!$A36,'13.mell_ÖNKfeladatok2019'!N$5:N$158)</f>
        <v>0</v>
      </c>
      <c r="H36" s="615">
        <f>+SUMIF('13.mell_ÖNKfeladatok2019'!$B$5:$B$158,'14.mell_Önk kiegészítés2019'!$A36,'13.mell_ÖNKfeladatok2019'!O$5:O$158)</f>
        <v>0</v>
      </c>
      <c r="I36" s="615">
        <f>+SUMIF('13.mell_ÖNKfeladatok2019'!$B$5:$B$158,'14.mell_Önk kiegészítés2019'!$A36,'13.mell_ÖNKfeladatok2019'!P$5:P$158)</f>
        <v>0</v>
      </c>
      <c r="J36" s="644">
        <f>SUM(C36:I36)</f>
        <v>0</v>
      </c>
      <c r="K36" s="598">
        <f>+SUMIF('13.mell_ÖNKfeladatok2019'!$B$166:$B$319,'14.mell_Önk kiegészítés2019'!$A36,'13.mell_ÖNKfeladatok2019'!I$166:I$319)</f>
        <v>28774</v>
      </c>
      <c r="L36" s="598">
        <f>+SUMIF('13.mell_ÖNKfeladatok2019'!$B$166:$B$319,'14.mell_Önk kiegészítés2019'!$A36,'13.mell_ÖNKfeladatok2019'!J$166:J$319)</f>
        <v>5671</v>
      </c>
      <c r="M36" s="598">
        <f>+SUMIF('13.mell_ÖNKfeladatok2019'!$B$166:$B$319,'14.mell_Önk kiegészítés2019'!$A36,'13.mell_ÖNKfeladatok2019'!K$166:K$319)</f>
        <v>4091</v>
      </c>
      <c r="N36" s="598">
        <f>+SUMIF('13.mell_ÖNKfeladatok2019'!$B$166:$B$319,'14.mell_Önk kiegészítés2019'!$A36,'13.mell_ÖNKfeladatok2019'!L$166:L$319)</f>
        <v>0</v>
      </c>
      <c r="O36" s="598">
        <f>+SUMIF('13.mell_ÖNKfeladatok2019'!$B$166:$B$319,'14.mell_Önk kiegészítés2019'!$A36,'13.mell_ÖNKfeladatok2019'!M$166:M$319)</f>
        <v>0</v>
      </c>
      <c r="P36" s="598">
        <f>+SUMIF('13.mell_ÖNKfeladatok2019'!$B$166:$B$319,'14.mell_Önk kiegészítés2019'!$A36,'13.mell_ÖNKfeladatok2019'!O$166:O$319)</f>
        <v>0</v>
      </c>
      <c r="Q36" s="598">
        <f>+SUMIF('13.mell_ÖNKfeladatok2019'!$B$166:$B$319,'14.mell_Önk kiegészítés2019'!$A36,'13.mell_ÖNKfeladatok2019'!P$166:P$319)</f>
        <v>0</v>
      </c>
      <c r="R36" s="598">
        <f>+SUMIF('13.mell_ÖNKfeladatok2019'!$B$166:$B$319,'14.mell_Önk kiegészítés2019'!$A36,'13.mell_ÖNKfeladatok2019'!Q$166:Q$319)</f>
        <v>0</v>
      </c>
      <c r="S36" s="641">
        <f>SUM(K36:R36)</f>
        <v>38536</v>
      </c>
      <c r="T36" s="599">
        <f>S36-J36</f>
        <v>38536</v>
      </c>
      <c r="U36" s="1357">
        <f>+ROUND(SUMIF('10.mell_támogatások2019'!$B$6:$B$136,'14.mell_Önk kiegészítés2019'!$A36,'10.mell_támogatások2019'!D$6:D$136)/1000,0)</f>
        <v>24951</v>
      </c>
      <c r="V36" s="600">
        <f>+T36-U36</f>
        <v>13585</v>
      </c>
    </row>
    <row r="37" spans="1:41" s="593" customFormat="1" ht="12.75" thickBot="1">
      <c r="A37" s="365" t="s">
        <v>756</v>
      </c>
      <c r="B37" s="537" t="s">
        <v>418</v>
      </c>
      <c r="C37" s="609">
        <f>SUM(C34:C36)</f>
        <v>0</v>
      </c>
      <c r="D37" s="609">
        <f t="shared" ref="D37:V37" si="12">SUM(D34:D36)</f>
        <v>0</v>
      </c>
      <c r="E37" s="609">
        <f t="shared" si="12"/>
        <v>19872</v>
      </c>
      <c r="F37" s="609">
        <f t="shared" si="12"/>
        <v>0</v>
      </c>
      <c r="G37" s="609">
        <f t="shared" si="12"/>
        <v>0</v>
      </c>
      <c r="H37" s="609">
        <f t="shared" si="12"/>
        <v>0</v>
      </c>
      <c r="I37" s="609">
        <f t="shared" si="12"/>
        <v>0</v>
      </c>
      <c r="J37" s="612">
        <f t="shared" si="12"/>
        <v>19872</v>
      </c>
      <c r="K37" s="609">
        <f t="shared" si="12"/>
        <v>235721</v>
      </c>
      <c r="L37" s="609">
        <f t="shared" si="12"/>
        <v>51022</v>
      </c>
      <c r="M37" s="609">
        <f t="shared" si="12"/>
        <v>112607</v>
      </c>
      <c r="N37" s="609">
        <f t="shared" si="12"/>
        <v>0</v>
      </c>
      <c r="O37" s="609">
        <f t="shared" si="12"/>
        <v>0</v>
      </c>
      <c r="P37" s="609">
        <f t="shared" si="12"/>
        <v>800</v>
      </c>
      <c r="Q37" s="609">
        <f t="shared" si="12"/>
        <v>0</v>
      </c>
      <c r="R37" s="609">
        <f t="shared" si="12"/>
        <v>0</v>
      </c>
      <c r="S37" s="612">
        <f t="shared" si="12"/>
        <v>400150</v>
      </c>
      <c r="T37" s="609">
        <f t="shared" si="12"/>
        <v>380278</v>
      </c>
      <c r="U37" s="613">
        <f t="shared" si="12"/>
        <v>319687</v>
      </c>
      <c r="V37" s="612">
        <f t="shared" si="12"/>
        <v>60591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</row>
    <row r="38" spans="1:41" ht="12.75" thickBot="1">
      <c r="A38" s="925">
        <f>+A36+1</f>
        <v>22</v>
      </c>
      <c r="B38" s="614" t="s">
        <v>419</v>
      </c>
      <c r="C38" s="615">
        <f>+SUMIF('13.mell_ÖNKfeladatok2019'!$B$5:$B$158,'14.mell_Önk kiegészítés2019'!$A38,'13.mell_ÖNKfeladatok2019'!I$5:I$158)</f>
        <v>0</v>
      </c>
      <c r="D38" s="615">
        <f>+SUMIF('13.mell_ÖNKfeladatok2019'!$B$5:$B$158,'14.mell_Önk kiegészítés2019'!$A38,'13.mell_ÖNKfeladatok2019'!J$5:J$158)</f>
        <v>0</v>
      </c>
      <c r="E38" s="615">
        <f>+SUMIF('13.mell_ÖNKfeladatok2019'!$B$5:$B$158,'14.mell_Önk kiegészítés2019'!$A38,'13.mell_ÖNKfeladatok2019'!K$5:K$158)</f>
        <v>0</v>
      </c>
      <c r="F38" s="615">
        <f>+SUMIF('13.mell_ÖNKfeladatok2019'!$B$5:$B$158,'14.mell_Önk kiegészítés2019'!$A38,'13.mell_ÖNKfeladatok2019'!L$5:L$158)</f>
        <v>0</v>
      </c>
      <c r="G38" s="615">
        <f>+SUMIF('13.mell_ÖNKfeladatok2019'!$B$5:$B$158,'14.mell_Önk kiegészítés2019'!$A38,'13.mell_ÖNKfeladatok2019'!N$5:N$158)</f>
        <v>0</v>
      </c>
      <c r="H38" s="615">
        <f>+SUMIF('13.mell_ÖNKfeladatok2019'!$B$5:$B$158,'14.mell_Önk kiegészítés2019'!$A38,'13.mell_ÖNKfeladatok2019'!O$5:O$158)</f>
        <v>0</v>
      </c>
      <c r="I38" s="615">
        <f>+SUMIF('13.mell_ÖNKfeladatok2019'!$B$5:$B$158,'14.mell_Önk kiegészítés2019'!$A38,'13.mell_ÖNKfeladatok2019'!P$5:P$158)</f>
        <v>0</v>
      </c>
      <c r="J38" s="644">
        <f>SUM(C38:I38)</f>
        <v>0</v>
      </c>
      <c r="K38" s="606">
        <f>+SUMIF('13.mell_ÖNKfeladatok2019'!$B$166:$B$319,'14.mell_Önk kiegészítés2019'!$A38,'13.mell_ÖNKfeladatok2019'!I$166:I$319)</f>
        <v>0</v>
      </c>
      <c r="L38" s="606">
        <f>+SUMIF('13.mell_ÖNKfeladatok2019'!$B$166:$B$319,'14.mell_Önk kiegészítés2019'!$A38,'13.mell_ÖNKfeladatok2019'!J$166:J$319)</f>
        <v>0</v>
      </c>
      <c r="M38" s="606">
        <f>+SUMIF('13.mell_ÖNKfeladatok2019'!$B$166:$B$319,'14.mell_Önk kiegészítés2019'!$A38,'13.mell_ÖNKfeladatok2019'!K$166:K$319)</f>
        <v>0</v>
      </c>
      <c r="N38" s="606">
        <f>+SUMIF('13.mell_ÖNKfeladatok2019'!$B$166:$B$319,'14.mell_Önk kiegészítés2019'!$A38,'13.mell_ÖNKfeladatok2019'!L$166:L$319)</f>
        <v>0</v>
      </c>
      <c r="O38" s="606">
        <f>+SUMIF('13.mell_ÖNKfeladatok2019'!$B$166:$B$319,'14.mell_Önk kiegészítés2019'!$A38,'13.mell_ÖNKfeladatok2019'!M$166:M$319)</f>
        <v>0</v>
      </c>
      <c r="P38" s="606">
        <f>+SUMIF('13.mell_ÖNKfeladatok2019'!$B$166:$B$319,'14.mell_Önk kiegészítés2019'!$A38,'13.mell_ÖNKfeladatok2019'!O$166:O$319)</f>
        <v>0</v>
      </c>
      <c r="Q38" s="606">
        <f>+SUMIF('13.mell_ÖNKfeladatok2019'!$B$166:$B$319,'14.mell_Önk kiegészítés2019'!$A38,'13.mell_ÖNKfeladatok2019'!P$166:P$319)</f>
        <v>0</v>
      </c>
      <c r="R38" s="606">
        <f>+SUMIF('13.mell_ÖNKfeladatok2019'!$B$166:$B$319,'14.mell_Önk kiegészítés2019'!$A38,'13.mell_ÖNKfeladatok2019'!Q$166:Q$319)</f>
        <v>0</v>
      </c>
      <c r="S38" s="643">
        <f>SUM(K38:R38)</f>
        <v>0</v>
      </c>
      <c r="T38" s="926">
        <f>S38-J38</f>
        <v>0</v>
      </c>
      <c r="U38" s="1361">
        <f>+ROUND(SUMIF('10.mell_támogatások2019'!$B$6:$B$136,'14.mell_Önk kiegészítés2019'!$A38,'10.mell_támogatások2019'!D$6:D$136)/1000,0)</f>
        <v>0</v>
      </c>
      <c r="V38" s="927">
        <f>+T38-U38</f>
        <v>0</v>
      </c>
    </row>
    <row r="39" spans="1:41" s="593" customFormat="1" ht="12.75" thickBot="1">
      <c r="A39" s="365" t="s">
        <v>757</v>
      </c>
      <c r="B39" s="537" t="s">
        <v>419</v>
      </c>
      <c r="C39" s="609">
        <f>SUM(C38)</f>
        <v>0</v>
      </c>
      <c r="D39" s="609">
        <f t="shared" ref="D39:V39" si="13">SUM(D38)</f>
        <v>0</v>
      </c>
      <c r="E39" s="609">
        <f t="shared" si="13"/>
        <v>0</v>
      </c>
      <c r="F39" s="609">
        <f t="shared" si="13"/>
        <v>0</v>
      </c>
      <c r="G39" s="609">
        <f t="shared" si="13"/>
        <v>0</v>
      </c>
      <c r="H39" s="609">
        <f t="shared" si="13"/>
        <v>0</v>
      </c>
      <c r="I39" s="609">
        <f t="shared" si="13"/>
        <v>0</v>
      </c>
      <c r="J39" s="612">
        <f t="shared" si="13"/>
        <v>0</v>
      </c>
      <c r="K39" s="609">
        <f t="shared" si="13"/>
        <v>0</v>
      </c>
      <c r="L39" s="609">
        <f t="shared" si="13"/>
        <v>0</v>
      </c>
      <c r="M39" s="609">
        <f t="shared" si="13"/>
        <v>0</v>
      </c>
      <c r="N39" s="609">
        <f t="shared" si="13"/>
        <v>0</v>
      </c>
      <c r="O39" s="609">
        <f t="shared" si="13"/>
        <v>0</v>
      </c>
      <c r="P39" s="609">
        <f t="shared" si="13"/>
        <v>0</v>
      </c>
      <c r="Q39" s="609">
        <f t="shared" si="13"/>
        <v>0</v>
      </c>
      <c r="R39" s="609">
        <f t="shared" si="13"/>
        <v>0</v>
      </c>
      <c r="S39" s="612">
        <f t="shared" si="13"/>
        <v>0</v>
      </c>
      <c r="T39" s="609">
        <f t="shared" si="13"/>
        <v>0</v>
      </c>
      <c r="U39" s="613">
        <f t="shared" si="13"/>
        <v>0</v>
      </c>
      <c r="V39" s="612">
        <f t="shared" si="13"/>
        <v>0</v>
      </c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</row>
    <row r="40" spans="1:41" ht="12.75" thickBot="1">
      <c r="A40" s="925">
        <f>+A38+1</f>
        <v>23</v>
      </c>
      <c r="B40" s="614" t="s">
        <v>775</v>
      </c>
      <c r="C40" s="615">
        <f>+SUMIF('13.mell_ÖNKfeladatok2019'!$B$5:$B$158,'14.mell_Önk kiegészítés2019'!$A40,'13.mell_ÖNKfeladatok2019'!I$5:I$158)</f>
        <v>0</v>
      </c>
      <c r="D40" s="615">
        <f>+SUMIF('13.mell_ÖNKfeladatok2019'!$B$5:$B$158,'14.mell_Önk kiegészítés2019'!$A40,'13.mell_ÖNKfeladatok2019'!J$5:J$158)</f>
        <v>0</v>
      </c>
      <c r="E40" s="615">
        <f>+SUMIF('13.mell_ÖNKfeladatok2019'!$B$5:$B$158,'14.mell_Önk kiegészítés2019'!$A40,'13.mell_ÖNKfeladatok2019'!K$5:K$158)</f>
        <v>0</v>
      </c>
      <c r="F40" s="615">
        <f>+SUMIF('13.mell_ÖNKfeladatok2019'!$B$5:$B$158,'14.mell_Önk kiegészítés2019'!$A40,'13.mell_ÖNKfeladatok2019'!L$5:L$158)</f>
        <v>0</v>
      </c>
      <c r="G40" s="615">
        <f>+SUMIF('13.mell_ÖNKfeladatok2019'!$B$5:$B$158,'14.mell_Önk kiegészítés2019'!$A40,'13.mell_ÖNKfeladatok2019'!N$5:N$158)</f>
        <v>0</v>
      </c>
      <c r="H40" s="615">
        <f>+SUMIF('13.mell_ÖNKfeladatok2019'!$B$5:$B$158,'14.mell_Önk kiegészítés2019'!$A40,'13.mell_ÖNKfeladatok2019'!O$5:O$158)</f>
        <v>0</v>
      </c>
      <c r="I40" s="615">
        <f>+SUMIF('13.mell_ÖNKfeladatok2019'!$B$5:$B$158,'14.mell_Önk kiegészítés2019'!$A40,'13.mell_ÖNKfeladatok2019'!P$5:P$158)</f>
        <v>0</v>
      </c>
      <c r="J40" s="644">
        <f>SUM(C40:I40)</f>
        <v>0</v>
      </c>
      <c r="K40" s="606">
        <f>+SUMIF('13.mell_ÖNKfeladatok2019'!$B$166:$B$319,'14.mell_Önk kiegészítés2019'!$A40,'13.mell_ÖNKfeladatok2019'!I$166:I$319)</f>
        <v>0</v>
      </c>
      <c r="L40" s="606">
        <f>+SUMIF('13.mell_ÖNKfeladatok2019'!$B$166:$B$319,'14.mell_Önk kiegészítés2019'!$A40,'13.mell_ÖNKfeladatok2019'!J$166:J$319)</f>
        <v>0</v>
      </c>
      <c r="M40" s="606">
        <f>+SUMIF('13.mell_ÖNKfeladatok2019'!$B$166:$B$319,'14.mell_Önk kiegészítés2019'!$A40,'13.mell_ÖNKfeladatok2019'!K$166:K$319)</f>
        <v>0</v>
      </c>
      <c r="N40" s="606">
        <f>+SUMIF('13.mell_ÖNKfeladatok2019'!$B$166:$B$319,'14.mell_Önk kiegészítés2019'!$A40,'13.mell_ÖNKfeladatok2019'!L$166:L$319)</f>
        <v>0</v>
      </c>
      <c r="O40" s="606">
        <f>+SUMIF('13.mell_ÖNKfeladatok2019'!$B$166:$B$319,'14.mell_Önk kiegészítés2019'!$A40,'13.mell_ÖNKfeladatok2019'!M$166:M$319)</f>
        <v>0</v>
      </c>
      <c r="P40" s="606">
        <f>+SUMIF('13.mell_ÖNKfeladatok2019'!$B$166:$B$319,'14.mell_Önk kiegészítés2019'!$A40,'13.mell_ÖNKfeladatok2019'!O$166:O$319)</f>
        <v>0</v>
      </c>
      <c r="Q40" s="606">
        <f>+SUMIF('13.mell_ÖNKfeladatok2019'!$B$166:$B$319,'14.mell_Önk kiegészítés2019'!$A40,'13.mell_ÖNKfeladatok2019'!P$166:P$319)</f>
        <v>0</v>
      </c>
      <c r="R40" s="606">
        <f>+SUMIF('13.mell_ÖNKfeladatok2019'!$B$166:$B$319,'14.mell_Önk kiegészítés2019'!$A40,'13.mell_ÖNKfeladatok2019'!Q$166:Q$319)</f>
        <v>0</v>
      </c>
      <c r="S40" s="643">
        <f>SUM(K40:R40)</f>
        <v>0</v>
      </c>
      <c r="T40" s="926">
        <f>S40-J40</f>
        <v>0</v>
      </c>
      <c r="U40" s="1361">
        <f>+ROUND(SUMIF('10.mell_támogatások2019'!$B$6:$B$136,'14.mell_Önk kiegészítés2019'!$A40,'10.mell_támogatások2019'!D$6:D$136)/1000,0)</f>
        <v>0</v>
      </c>
      <c r="V40" s="927">
        <f>+T40-U40</f>
        <v>0</v>
      </c>
    </row>
    <row r="41" spans="1:41" s="593" customFormat="1" ht="12.75" thickBot="1">
      <c r="A41" s="365" t="s">
        <v>758</v>
      </c>
      <c r="B41" s="537" t="s">
        <v>775</v>
      </c>
      <c r="C41" s="609">
        <f>SUM(C40)</f>
        <v>0</v>
      </c>
      <c r="D41" s="609">
        <f t="shared" ref="D41:V41" si="14">SUM(D40)</f>
        <v>0</v>
      </c>
      <c r="E41" s="609">
        <f t="shared" si="14"/>
        <v>0</v>
      </c>
      <c r="F41" s="609">
        <f t="shared" si="14"/>
        <v>0</v>
      </c>
      <c r="G41" s="609">
        <f t="shared" si="14"/>
        <v>0</v>
      </c>
      <c r="H41" s="609">
        <f t="shared" si="14"/>
        <v>0</v>
      </c>
      <c r="I41" s="609">
        <f t="shared" si="14"/>
        <v>0</v>
      </c>
      <c r="J41" s="612">
        <f t="shared" si="14"/>
        <v>0</v>
      </c>
      <c r="K41" s="609">
        <f t="shared" si="14"/>
        <v>0</v>
      </c>
      <c r="L41" s="609">
        <f t="shared" si="14"/>
        <v>0</v>
      </c>
      <c r="M41" s="609">
        <f t="shared" si="14"/>
        <v>0</v>
      </c>
      <c r="N41" s="609">
        <f t="shared" si="14"/>
        <v>0</v>
      </c>
      <c r="O41" s="609">
        <f t="shared" si="14"/>
        <v>0</v>
      </c>
      <c r="P41" s="609">
        <f t="shared" si="14"/>
        <v>0</v>
      </c>
      <c r="Q41" s="609">
        <f t="shared" si="14"/>
        <v>0</v>
      </c>
      <c r="R41" s="609">
        <f t="shared" si="14"/>
        <v>0</v>
      </c>
      <c r="S41" s="612">
        <f t="shared" si="14"/>
        <v>0</v>
      </c>
      <c r="T41" s="609">
        <f t="shared" si="14"/>
        <v>0</v>
      </c>
      <c r="U41" s="613">
        <f t="shared" si="14"/>
        <v>0</v>
      </c>
      <c r="V41" s="612">
        <f t="shared" si="14"/>
        <v>0</v>
      </c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</row>
    <row r="42" spans="1:41" s="593" customFormat="1" ht="12.75" thickBot="1">
      <c r="A42" s="540" t="s">
        <v>21</v>
      </c>
      <c r="B42" s="557" t="s">
        <v>420</v>
      </c>
      <c r="C42" s="618">
        <f>+C37+C39+C41</f>
        <v>0</v>
      </c>
      <c r="D42" s="619">
        <f t="shared" ref="D42:V42" si="15">+D37+D39+D41</f>
        <v>0</v>
      </c>
      <c r="E42" s="619">
        <f t="shared" si="15"/>
        <v>19872</v>
      </c>
      <c r="F42" s="619">
        <f t="shared" si="15"/>
        <v>0</v>
      </c>
      <c r="G42" s="619">
        <f t="shared" si="15"/>
        <v>0</v>
      </c>
      <c r="H42" s="619">
        <f t="shared" si="15"/>
        <v>0</v>
      </c>
      <c r="I42" s="620">
        <f t="shared" si="15"/>
        <v>0</v>
      </c>
      <c r="J42" s="621">
        <f t="shared" si="15"/>
        <v>19872</v>
      </c>
      <c r="K42" s="618">
        <f t="shared" si="15"/>
        <v>235721</v>
      </c>
      <c r="L42" s="618">
        <f t="shared" si="15"/>
        <v>51022</v>
      </c>
      <c r="M42" s="618">
        <f t="shared" si="15"/>
        <v>112607</v>
      </c>
      <c r="N42" s="618">
        <f t="shared" si="15"/>
        <v>0</v>
      </c>
      <c r="O42" s="618">
        <f t="shared" si="15"/>
        <v>0</v>
      </c>
      <c r="P42" s="618">
        <f t="shared" si="15"/>
        <v>800</v>
      </c>
      <c r="Q42" s="618">
        <f t="shared" si="15"/>
        <v>0</v>
      </c>
      <c r="R42" s="618">
        <f t="shared" si="15"/>
        <v>0</v>
      </c>
      <c r="S42" s="621">
        <f t="shared" si="15"/>
        <v>400150</v>
      </c>
      <c r="T42" s="618">
        <f t="shared" si="15"/>
        <v>380278</v>
      </c>
      <c r="U42" s="620">
        <f t="shared" si="15"/>
        <v>319687</v>
      </c>
      <c r="V42" s="621">
        <f t="shared" si="15"/>
        <v>60591</v>
      </c>
      <c r="X42" s="593">
        <f>+'13.mell_ÖNKfeladatok2019'!G123-J42</f>
        <v>0</v>
      </c>
      <c r="Y42" s="593">
        <f>+'13.mell_ÖNKfeladatok2019'!G284-S42</f>
        <v>0</v>
      </c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</row>
    <row r="43" spans="1:41" s="185" customFormat="1" ht="12.75" thickBot="1">
      <c r="A43" s="365"/>
      <c r="B43" s="537"/>
      <c r="C43" s="629"/>
      <c r="D43" s="630"/>
      <c r="E43" s="630"/>
      <c r="F43" s="630"/>
      <c r="G43" s="630"/>
      <c r="H43" s="630"/>
      <c r="I43" s="631"/>
      <c r="J43" s="632"/>
      <c r="K43" s="629"/>
      <c r="L43" s="629"/>
      <c r="M43" s="629"/>
      <c r="N43" s="629"/>
      <c r="O43" s="629"/>
      <c r="P43" s="629"/>
      <c r="Q43" s="629"/>
      <c r="R43" s="629"/>
      <c r="S43" s="632"/>
      <c r="T43" s="629"/>
      <c r="U43" s="631"/>
      <c r="V43" s="632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</row>
    <row r="44" spans="1:41">
      <c r="A44" s="876">
        <f>+A40+1</f>
        <v>24</v>
      </c>
      <c r="B44" s="781" t="s">
        <v>1105</v>
      </c>
      <c r="C44" s="924">
        <f>+SUMIF('13.mell_ÖNKfeladatok2019'!$B$5:$B$158,'14.mell_Önk kiegészítés2019'!$A44,'13.mell_ÖNKfeladatok2019'!I$5:I$158)</f>
        <v>0</v>
      </c>
      <c r="D44" s="924">
        <f>+SUMIF('13.mell_ÖNKfeladatok2019'!$B$5:$B$158,'14.mell_Önk kiegészítés2019'!$A44,'13.mell_ÖNKfeladatok2019'!J$5:J$158)</f>
        <v>0</v>
      </c>
      <c r="E44" s="924">
        <f>+SUMIF('13.mell_ÖNKfeladatok2019'!$B$5:$B$158,'14.mell_Önk kiegészítés2019'!$A44,'13.mell_ÖNKfeladatok2019'!K$5:K$158)</f>
        <v>0</v>
      </c>
      <c r="F44" s="924">
        <f>+SUMIF('13.mell_ÖNKfeladatok2019'!$B$5:$B$158,'14.mell_Önk kiegészítés2019'!$A44,'13.mell_ÖNKfeladatok2019'!L$5:L$158)</f>
        <v>0</v>
      </c>
      <c r="G44" s="924">
        <f>+SUMIF('13.mell_ÖNKfeladatok2019'!$B$5:$B$158,'14.mell_Önk kiegészítés2019'!$A44,'13.mell_ÖNKfeladatok2019'!N$5:N$158)</f>
        <v>0</v>
      </c>
      <c r="H44" s="924">
        <f>+SUMIF('13.mell_ÖNKfeladatok2019'!$B$5:$B$158,'14.mell_Önk kiegészítés2019'!$A44,'13.mell_ÖNKfeladatok2019'!O$5:O$158)</f>
        <v>0</v>
      </c>
      <c r="I44" s="924">
        <f>+SUMIF('13.mell_ÖNKfeladatok2019'!$B$5:$B$158,'14.mell_Önk kiegészítés2019'!$A44,'13.mell_ÖNKfeladatok2019'!P$5:P$158)</f>
        <v>0</v>
      </c>
      <c r="J44" s="782">
        <f>SUM(C44:I44)</f>
        <v>0</v>
      </c>
      <c r="K44" s="924">
        <f>+SUMIF('13.mell_ÖNKfeladatok2019'!$B$166:$B$319,'14.mell_Önk kiegészítés2019'!$A44,'13.mell_ÖNKfeladatok2019'!I$166:I$319)</f>
        <v>0</v>
      </c>
      <c r="L44" s="924">
        <f>+SUMIF('13.mell_ÖNKfeladatok2019'!$B$166:$B$319,'14.mell_Önk kiegészítés2019'!$A44,'13.mell_ÖNKfeladatok2019'!J$166:J$319)</f>
        <v>0</v>
      </c>
      <c r="M44" s="924">
        <f>+SUMIF('13.mell_ÖNKfeladatok2019'!$B$166:$B$319,'14.mell_Önk kiegészítés2019'!$A44,'13.mell_ÖNKfeladatok2019'!K$166:K$319)</f>
        <v>1470</v>
      </c>
      <c r="N44" s="924">
        <f>+SUMIF('13.mell_ÖNKfeladatok2019'!$B$166:$B$319,'14.mell_Önk kiegészítés2019'!$A44,'13.mell_ÖNKfeladatok2019'!L$166:L$319)</f>
        <v>0</v>
      </c>
      <c r="O44" s="924">
        <f>+SUMIF('13.mell_ÖNKfeladatok2019'!$B$166:$B$319,'14.mell_Önk kiegészítés2019'!$A44,'13.mell_ÖNKfeladatok2019'!M$166:M$319)</f>
        <v>0</v>
      </c>
      <c r="P44" s="924">
        <f>+SUMIF('13.mell_ÖNKfeladatok2019'!$B$166:$B$319,'14.mell_Önk kiegészítés2019'!$A44,'13.mell_ÖNKfeladatok2019'!O$166:O$319)</f>
        <v>0</v>
      </c>
      <c r="Q44" s="924">
        <f>+SUMIF('13.mell_ÖNKfeladatok2019'!$B$166:$B$319,'14.mell_Önk kiegészítés2019'!$A44,'13.mell_ÖNKfeladatok2019'!P$166:P$319)</f>
        <v>0</v>
      </c>
      <c r="R44" s="924">
        <f>+SUMIF('13.mell_ÖNKfeladatok2019'!$B$166:$B$319,'14.mell_Önk kiegészítés2019'!$A44,'13.mell_ÖNKfeladatok2019'!Q$166:Q$319)</f>
        <v>0</v>
      </c>
      <c r="S44" s="782">
        <f>SUM(K44:R44)</f>
        <v>1470</v>
      </c>
      <c r="T44" s="783">
        <f>S44-J44</f>
        <v>1470</v>
      </c>
      <c r="U44" s="1360">
        <f>+ROUND(SUMIF('10.mell_támogatások2019'!$B$6:$B$136,'14.mell_Önk kiegészítés2019'!$A44,'10.mell_támogatások2019'!D$6:D$136)/1000,0)</f>
        <v>0</v>
      </c>
      <c r="V44" s="784">
        <f>+T44-U44</f>
        <v>1470</v>
      </c>
    </row>
    <row r="45" spans="1:41">
      <c r="A45" s="877">
        <f>+A44+1</f>
        <v>25</v>
      </c>
      <c r="B45" s="601" t="s">
        <v>1168</v>
      </c>
      <c r="C45" s="602">
        <f>+SUMIF('13.mell_ÖNKfeladatok2019'!$B$5:$B$158,'14.mell_Önk kiegészítés2019'!$A45,'13.mell_ÖNKfeladatok2019'!I$5:I$158)</f>
        <v>0</v>
      </c>
      <c r="D45" s="602">
        <f>+SUMIF('13.mell_ÖNKfeladatok2019'!$B$5:$B$158,'14.mell_Önk kiegészítés2019'!$A45,'13.mell_ÖNKfeladatok2019'!J$5:J$158)</f>
        <v>0</v>
      </c>
      <c r="E45" s="602">
        <f>+SUMIF('13.mell_ÖNKfeladatok2019'!$B$5:$B$158,'14.mell_Önk kiegészítés2019'!$A45,'13.mell_ÖNKfeladatok2019'!K$5:K$158)</f>
        <v>400</v>
      </c>
      <c r="F45" s="602">
        <f>+SUMIF('13.mell_ÖNKfeladatok2019'!$B$5:$B$158,'14.mell_Önk kiegészítés2019'!$A45,'13.mell_ÖNKfeladatok2019'!L$5:L$158)</f>
        <v>0</v>
      </c>
      <c r="G45" s="602">
        <f>+SUMIF('13.mell_ÖNKfeladatok2019'!$B$5:$B$158,'14.mell_Önk kiegészítés2019'!$A45,'13.mell_ÖNKfeladatok2019'!N$5:N$158)</f>
        <v>0</v>
      </c>
      <c r="H45" s="602">
        <f>+SUMIF('13.mell_ÖNKfeladatok2019'!$B$5:$B$158,'14.mell_Önk kiegészítés2019'!$A45,'13.mell_ÖNKfeladatok2019'!O$5:O$158)</f>
        <v>0</v>
      </c>
      <c r="I45" s="602">
        <f>+SUMIF('13.mell_ÖNKfeladatok2019'!$B$5:$B$158,'14.mell_Önk kiegészítés2019'!$A45,'13.mell_ÖNKfeladatok2019'!P$5:P$158)</f>
        <v>0</v>
      </c>
      <c r="J45" s="642">
        <f>SUM(C45:I45)</f>
        <v>400</v>
      </c>
      <c r="K45" s="602">
        <f>+SUMIF('13.mell_ÖNKfeladatok2019'!$B$166:$B$319,'14.mell_Önk kiegészítés2019'!$A45,'13.mell_ÖNKfeladatok2019'!I$166:I$319)</f>
        <v>21407</v>
      </c>
      <c r="L45" s="602">
        <f>+SUMIF('13.mell_ÖNKfeladatok2019'!$B$166:$B$319,'14.mell_Önk kiegészítés2019'!$A45,'13.mell_ÖNKfeladatok2019'!J$166:J$319)</f>
        <v>4176</v>
      </c>
      <c r="M45" s="602">
        <f>+SUMIF('13.mell_ÖNKfeladatok2019'!$B$166:$B$319,'14.mell_Önk kiegészítés2019'!$A45,'13.mell_ÖNKfeladatok2019'!K$166:K$319)</f>
        <v>9875</v>
      </c>
      <c r="N45" s="602">
        <f>+SUMIF('13.mell_ÖNKfeladatok2019'!$B$166:$B$319,'14.mell_Önk kiegészítés2019'!$A45,'13.mell_ÖNKfeladatok2019'!L$166:L$319)</f>
        <v>0</v>
      </c>
      <c r="O45" s="602">
        <f>+SUMIF('13.mell_ÖNKfeladatok2019'!$B$166:$B$319,'14.mell_Önk kiegészítés2019'!$A45,'13.mell_ÖNKfeladatok2019'!M$166:M$319)</f>
        <v>0</v>
      </c>
      <c r="P45" s="602">
        <f>+SUMIF('13.mell_ÖNKfeladatok2019'!$B$166:$B$319,'14.mell_Önk kiegészítés2019'!$A45,'13.mell_ÖNKfeladatok2019'!O$166:O$319)</f>
        <v>10797</v>
      </c>
      <c r="Q45" s="602">
        <f>+SUMIF('13.mell_ÖNKfeladatok2019'!$B$166:$B$319,'14.mell_Önk kiegészítés2019'!$A45,'13.mell_ÖNKfeladatok2019'!P$166:P$319)</f>
        <v>0</v>
      </c>
      <c r="R45" s="602">
        <f>+SUMIF('13.mell_ÖNKfeladatok2019'!$B$166:$B$319,'14.mell_Önk kiegészítés2019'!$A45,'13.mell_ÖNKfeladatok2019'!Q$166:Q$319)</f>
        <v>0</v>
      </c>
      <c r="S45" s="642">
        <f>SUM(K45:R45)</f>
        <v>46255</v>
      </c>
      <c r="T45" s="603">
        <f>S45-J45</f>
        <v>45855</v>
      </c>
      <c r="U45" s="1358">
        <f>+ROUND(SUMIF('10.mell_támogatások2019'!$B$6:$B$136,'14.mell_Önk kiegészítés2019'!$A45,'10.mell_támogatások2019'!D$6:D$136)/1000,0)</f>
        <v>13000</v>
      </c>
      <c r="V45" s="604">
        <f>+T45-U45</f>
        <v>32855</v>
      </c>
    </row>
    <row r="46" spans="1:41" ht="12.75" thickBot="1">
      <c r="A46" s="928">
        <f>+A45+1</f>
        <v>26</v>
      </c>
      <c r="B46" s="614" t="s">
        <v>1112</v>
      </c>
      <c r="C46" s="615">
        <f>+SUMIF('13.mell_ÖNKfeladatok2019'!$B$5:$B$158,'14.mell_Önk kiegészítés2019'!$A46,'13.mell_ÖNKfeladatok2019'!I$5:I$158)</f>
        <v>0</v>
      </c>
      <c r="D46" s="615">
        <f>+SUMIF('13.mell_ÖNKfeladatok2019'!$B$5:$B$158,'14.mell_Önk kiegészítés2019'!$A46,'13.mell_ÖNKfeladatok2019'!J$5:J$158)</f>
        <v>0</v>
      </c>
      <c r="E46" s="615">
        <f>+SUMIF('13.mell_ÖNKfeladatok2019'!$B$5:$B$158,'14.mell_Önk kiegészítés2019'!$A46,'13.mell_ÖNKfeladatok2019'!K$5:K$158)</f>
        <v>100</v>
      </c>
      <c r="F46" s="615">
        <f>+SUMIF('13.mell_ÖNKfeladatok2019'!$B$5:$B$158,'14.mell_Önk kiegészítés2019'!$A46,'13.mell_ÖNKfeladatok2019'!L$5:L$158)</f>
        <v>0</v>
      </c>
      <c r="G46" s="615">
        <f>+SUMIF('13.mell_ÖNKfeladatok2019'!$B$5:$B$158,'14.mell_Önk kiegészítés2019'!$A46,'13.mell_ÖNKfeladatok2019'!N$5:N$158)</f>
        <v>0</v>
      </c>
      <c r="H46" s="615">
        <f>+SUMIF('13.mell_ÖNKfeladatok2019'!$B$5:$B$158,'14.mell_Önk kiegészítés2019'!$A46,'13.mell_ÖNKfeladatok2019'!O$5:O$158)</f>
        <v>0</v>
      </c>
      <c r="I46" s="615">
        <f>+SUMIF('13.mell_ÖNKfeladatok2019'!$B$5:$B$158,'14.mell_Önk kiegészítés2019'!$A46,'13.mell_ÖNKfeladatok2019'!P$5:P$158)</f>
        <v>0</v>
      </c>
      <c r="J46" s="644">
        <f>SUM(C46:I46)</f>
        <v>100</v>
      </c>
      <c r="K46" s="615">
        <f>+SUMIF('13.mell_ÖNKfeladatok2019'!$B$166:$B$319,'14.mell_Önk kiegészítés2019'!$A46,'13.mell_ÖNKfeladatok2019'!I$166:I$319)</f>
        <v>3208</v>
      </c>
      <c r="L46" s="615">
        <f>+SUMIF('13.mell_ÖNKfeladatok2019'!$B$166:$B$319,'14.mell_Önk kiegészítés2019'!$A46,'13.mell_ÖNKfeladatok2019'!J$166:J$319)</f>
        <v>633</v>
      </c>
      <c r="M46" s="615">
        <f>+SUMIF('13.mell_ÖNKfeladatok2019'!$B$166:$B$319,'14.mell_Önk kiegészítés2019'!$A46,'13.mell_ÖNKfeladatok2019'!K$166:K$319)</f>
        <v>2452</v>
      </c>
      <c r="N46" s="615">
        <f>+SUMIF('13.mell_ÖNKfeladatok2019'!$B$166:$B$319,'14.mell_Önk kiegészítés2019'!$A46,'13.mell_ÖNKfeladatok2019'!L$166:L$319)</f>
        <v>0</v>
      </c>
      <c r="O46" s="615">
        <f>+SUMIF('13.mell_ÖNKfeladatok2019'!$B$166:$B$319,'14.mell_Önk kiegészítés2019'!$A46,'13.mell_ÖNKfeladatok2019'!M$166:M$319)</f>
        <v>0</v>
      </c>
      <c r="P46" s="615">
        <f>+SUMIF('13.mell_ÖNKfeladatok2019'!$B$166:$B$319,'14.mell_Önk kiegészítés2019'!$A46,'13.mell_ÖNKfeladatok2019'!O$166:O$319)</f>
        <v>254</v>
      </c>
      <c r="Q46" s="615">
        <f>+SUMIF('13.mell_ÖNKfeladatok2019'!$B$166:$B$319,'14.mell_Önk kiegészítés2019'!$A46,'13.mell_ÖNKfeladatok2019'!P$166:P$319)</f>
        <v>0</v>
      </c>
      <c r="R46" s="615">
        <f>+SUMIF('13.mell_ÖNKfeladatok2019'!$B$166:$B$319,'14.mell_Önk kiegészítés2019'!$A46,'13.mell_ÖNKfeladatok2019'!Q$166:Q$319)</f>
        <v>0</v>
      </c>
      <c r="S46" s="644">
        <f>SUM(K46:R46)</f>
        <v>6547</v>
      </c>
      <c r="T46" s="929">
        <f>S46-J46</f>
        <v>6447</v>
      </c>
      <c r="U46" s="1362">
        <f>+ROUND(SUMIF('10.mell_támogatások2019'!$B$6:$B$136,'14.mell_Önk kiegészítés2019'!$A46,'10.mell_támogatások2019'!D$6:D$136)/1000,0)</f>
        <v>6679</v>
      </c>
      <c r="V46" s="930">
        <f>+T46-U46</f>
        <v>-232</v>
      </c>
    </row>
    <row r="47" spans="1:41" s="593" customFormat="1" ht="12.75" thickBot="1">
      <c r="A47" s="365" t="s">
        <v>759</v>
      </c>
      <c r="B47" s="537" t="s">
        <v>421</v>
      </c>
      <c r="C47" s="609">
        <f>SUM(C44:C46)</f>
        <v>0</v>
      </c>
      <c r="D47" s="609">
        <f t="shared" ref="D47:V47" si="16">SUM(D44:D46)</f>
        <v>0</v>
      </c>
      <c r="E47" s="609">
        <f t="shared" si="16"/>
        <v>500</v>
      </c>
      <c r="F47" s="609">
        <f t="shared" si="16"/>
        <v>0</v>
      </c>
      <c r="G47" s="609">
        <f t="shared" si="16"/>
        <v>0</v>
      </c>
      <c r="H47" s="609">
        <f t="shared" si="16"/>
        <v>0</v>
      </c>
      <c r="I47" s="609">
        <f t="shared" si="16"/>
        <v>0</v>
      </c>
      <c r="J47" s="612">
        <f t="shared" si="16"/>
        <v>500</v>
      </c>
      <c r="K47" s="609">
        <f t="shared" si="16"/>
        <v>24615</v>
      </c>
      <c r="L47" s="609">
        <f t="shared" si="16"/>
        <v>4809</v>
      </c>
      <c r="M47" s="609">
        <f t="shared" si="16"/>
        <v>13797</v>
      </c>
      <c r="N47" s="609">
        <f t="shared" si="16"/>
        <v>0</v>
      </c>
      <c r="O47" s="609">
        <f t="shared" si="16"/>
        <v>0</v>
      </c>
      <c r="P47" s="609">
        <f t="shared" si="16"/>
        <v>11051</v>
      </c>
      <c r="Q47" s="609">
        <f t="shared" si="16"/>
        <v>0</v>
      </c>
      <c r="R47" s="609">
        <f t="shared" si="16"/>
        <v>0</v>
      </c>
      <c r="S47" s="612">
        <f t="shared" si="16"/>
        <v>54272</v>
      </c>
      <c r="T47" s="609">
        <f t="shared" si="16"/>
        <v>53772</v>
      </c>
      <c r="U47" s="613">
        <f t="shared" si="16"/>
        <v>19679</v>
      </c>
      <c r="V47" s="612">
        <f t="shared" si="16"/>
        <v>34093</v>
      </c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</row>
    <row r="48" spans="1:41" ht="12.75" thickBot="1">
      <c r="A48" s="933">
        <f>+A46+1</f>
        <v>27</v>
      </c>
      <c r="B48" s="934" t="s">
        <v>761</v>
      </c>
      <c r="C48" s="935">
        <f>+SUMIF('13.mell_ÖNKfeladatok2019'!$B$5:$B$158,'14.mell_Önk kiegészítés2019'!$A48,'13.mell_ÖNKfeladatok2019'!I$5:I$158)</f>
        <v>0</v>
      </c>
      <c r="D48" s="935">
        <f>+SUMIF('13.mell_ÖNKfeladatok2019'!$B$5:$B$158,'14.mell_Önk kiegészítés2019'!$A48,'13.mell_ÖNKfeladatok2019'!J$5:J$158)</f>
        <v>0</v>
      </c>
      <c r="E48" s="935">
        <f>+SUMIF('13.mell_ÖNKfeladatok2019'!$B$5:$B$158,'14.mell_Önk kiegészítés2019'!$A48,'13.mell_ÖNKfeladatok2019'!K$5:K$158)</f>
        <v>0</v>
      </c>
      <c r="F48" s="935">
        <f>+SUMIF('13.mell_ÖNKfeladatok2019'!$B$5:$B$158,'14.mell_Önk kiegészítés2019'!$A48,'13.mell_ÖNKfeladatok2019'!L$5:L$158)</f>
        <v>0</v>
      </c>
      <c r="G48" s="935">
        <f>+SUMIF('13.mell_ÖNKfeladatok2019'!$B$5:$B$158,'14.mell_Önk kiegészítés2019'!$A48,'13.mell_ÖNKfeladatok2019'!N$5:N$158)</f>
        <v>0</v>
      </c>
      <c r="H48" s="935">
        <f>+SUMIF('13.mell_ÖNKfeladatok2019'!$B$5:$B$158,'14.mell_Önk kiegészítés2019'!$A48,'13.mell_ÖNKfeladatok2019'!O$5:O$158)</f>
        <v>0</v>
      </c>
      <c r="I48" s="935">
        <f>+SUMIF('13.mell_ÖNKfeladatok2019'!$B$5:$B$158,'14.mell_Önk kiegészítés2019'!$A48,'13.mell_ÖNKfeladatok2019'!P$5:P$158)</f>
        <v>0</v>
      </c>
      <c r="J48" s="936">
        <f>SUM(C48:I48)</f>
        <v>0</v>
      </c>
      <c r="K48" s="935">
        <f>+SUMIF('13.mell_ÖNKfeladatok2019'!$B$166:$B$319,'14.mell_Önk kiegészítés2019'!$A48,'13.mell_ÖNKfeladatok2019'!I$166:I$319)</f>
        <v>0</v>
      </c>
      <c r="L48" s="935">
        <f>+SUMIF('13.mell_ÖNKfeladatok2019'!$B$166:$B$319,'14.mell_Önk kiegészítés2019'!$A48,'13.mell_ÖNKfeladatok2019'!J$166:J$319)</f>
        <v>0</v>
      </c>
      <c r="M48" s="935">
        <f>+SUMIF('13.mell_ÖNKfeladatok2019'!$B$166:$B$319,'14.mell_Önk kiegészítés2019'!$A48,'13.mell_ÖNKfeladatok2019'!K$166:K$319)</f>
        <v>0</v>
      </c>
      <c r="N48" s="935">
        <f>+SUMIF('13.mell_ÖNKfeladatok2019'!$B$166:$B$319,'14.mell_Önk kiegészítés2019'!$A48,'13.mell_ÖNKfeladatok2019'!L$166:L$319)</f>
        <v>0</v>
      </c>
      <c r="O48" s="935">
        <f>+SUMIF('13.mell_ÖNKfeladatok2019'!$B$166:$B$319,'14.mell_Önk kiegészítés2019'!$A48,'13.mell_ÖNKfeladatok2019'!M$166:M$319)</f>
        <v>0</v>
      </c>
      <c r="P48" s="935">
        <f>+SUMIF('13.mell_ÖNKfeladatok2019'!$B$166:$B$319,'14.mell_Önk kiegészítés2019'!$A48,'13.mell_ÖNKfeladatok2019'!O$166:O$319)</f>
        <v>0</v>
      </c>
      <c r="Q48" s="935">
        <f>+SUMIF('13.mell_ÖNKfeladatok2019'!$B$166:$B$319,'14.mell_Önk kiegészítés2019'!$A48,'13.mell_ÖNKfeladatok2019'!P$166:P$319)</f>
        <v>0</v>
      </c>
      <c r="R48" s="935">
        <f>+SUMIF('13.mell_ÖNKfeladatok2019'!$B$166:$B$319,'14.mell_Önk kiegészítés2019'!$A48,'13.mell_ÖNKfeladatok2019'!Q$166:Q$319)</f>
        <v>0</v>
      </c>
      <c r="S48" s="936">
        <f>SUM(K48:R48)</f>
        <v>0</v>
      </c>
      <c r="T48" s="609">
        <f>S48-J48</f>
        <v>0</v>
      </c>
      <c r="U48" s="1363">
        <f>+ROUND(SUMIF('10.mell_támogatások2019'!$B$6:$B$136,'14.mell_Önk kiegészítés2019'!$A48,'10.mell_támogatások2019'!D$6:D$136)/1000,0)</f>
        <v>0</v>
      </c>
      <c r="V48" s="612">
        <f>+T48-U48</f>
        <v>0</v>
      </c>
    </row>
    <row r="49" spans="1:41" s="593" customFormat="1" ht="12.75" thickBot="1">
      <c r="A49" s="552" t="s">
        <v>642</v>
      </c>
      <c r="B49" s="553" t="s">
        <v>761</v>
      </c>
      <c r="C49" s="931">
        <f>SUM(C48)</f>
        <v>0</v>
      </c>
      <c r="D49" s="931">
        <f t="shared" ref="D49:V49" si="17">SUM(D48)</f>
        <v>0</v>
      </c>
      <c r="E49" s="931">
        <f t="shared" si="17"/>
        <v>0</v>
      </c>
      <c r="F49" s="931">
        <f t="shared" si="17"/>
        <v>0</v>
      </c>
      <c r="G49" s="931">
        <f t="shared" si="17"/>
        <v>0</v>
      </c>
      <c r="H49" s="931">
        <f t="shared" si="17"/>
        <v>0</v>
      </c>
      <c r="I49" s="931">
        <f t="shared" si="17"/>
        <v>0</v>
      </c>
      <c r="J49" s="932">
        <f t="shared" si="17"/>
        <v>0</v>
      </c>
      <c r="K49" s="931">
        <f t="shared" si="17"/>
        <v>0</v>
      </c>
      <c r="L49" s="931">
        <f t="shared" si="17"/>
        <v>0</v>
      </c>
      <c r="M49" s="931">
        <f t="shared" si="17"/>
        <v>0</v>
      </c>
      <c r="N49" s="931">
        <f t="shared" si="17"/>
        <v>0</v>
      </c>
      <c r="O49" s="931">
        <f t="shared" si="17"/>
        <v>0</v>
      </c>
      <c r="P49" s="931">
        <f t="shared" si="17"/>
        <v>0</v>
      </c>
      <c r="Q49" s="931">
        <f t="shared" si="17"/>
        <v>0</v>
      </c>
      <c r="R49" s="931">
        <f t="shared" si="17"/>
        <v>0</v>
      </c>
      <c r="S49" s="932">
        <f t="shared" si="17"/>
        <v>0</v>
      </c>
      <c r="T49" s="931">
        <f t="shared" si="17"/>
        <v>0</v>
      </c>
      <c r="U49" s="1364">
        <f t="shared" si="17"/>
        <v>0</v>
      </c>
      <c r="V49" s="932">
        <f t="shared" si="17"/>
        <v>0</v>
      </c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</row>
    <row r="50" spans="1:41" ht="12.75" thickBot="1">
      <c r="A50" s="933">
        <f>+A48+1</f>
        <v>28</v>
      </c>
      <c r="B50" s="934" t="s">
        <v>776</v>
      </c>
      <c r="C50" s="935">
        <f>+SUMIF('13.mell_ÖNKfeladatok2019'!$B$5:$B$158,'14.mell_Önk kiegészítés2019'!$A50,'13.mell_ÖNKfeladatok2019'!I$5:I$158)</f>
        <v>0</v>
      </c>
      <c r="D50" s="935">
        <f>+SUMIF('13.mell_ÖNKfeladatok2019'!$B$5:$B$158,'14.mell_Önk kiegészítés2019'!$A50,'13.mell_ÖNKfeladatok2019'!J$5:J$158)</f>
        <v>0</v>
      </c>
      <c r="E50" s="935">
        <f>+SUMIF('13.mell_ÖNKfeladatok2019'!$B$5:$B$158,'14.mell_Önk kiegészítés2019'!$A50,'13.mell_ÖNKfeladatok2019'!K$5:K$158)</f>
        <v>0</v>
      </c>
      <c r="F50" s="935">
        <f>+SUMIF('13.mell_ÖNKfeladatok2019'!$B$5:$B$158,'14.mell_Önk kiegészítés2019'!$A50,'13.mell_ÖNKfeladatok2019'!L$5:L$158)</f>
        <v>0</v>
      </c>
      <c r="G50" s="935">
        <f>+SUMIF('13.mell_ÖNKfeladatok2019'!$B$5:$B$158,'14.mell_Önk kiegészítés2019'!$A50,'13.mell_ÖNKfeladatok2019'!N$5:N$158)</f>
        <v>0</v>
      </c>
      <c r="H50" s="935">
        <f>+SUMIF('13.mell_ÖNKfeladatok2019'!$B$5:$B$158,'14.mell_Önk kiegészítés2019'!$A50,'13.mell_ÖNKfeladatok2019'!O$5:O$158)</f>
        <v>0</v>
      </c>
      <c r="I50" s="935">
        <f>+SUMIF('13.mell_ÖNKfeladatok2019'!$B$5:$B$158,'14.mell_Önk kiegészítés2019'!$A50,'13.mell_ÖNKfeladatok2019'!P$5:P$158)</f>
        <v>0</v>
      </c>
      <c r="J50" s="936">
        <f>SUM(C50:I50)</f>
        <v>0</v>
      </c>
      <c r="K50" s="935">
        <f>+SUMIF('13.mell_ÖNKfeladatok2019'!$B$166:$B$319,'14.mell_Önk kiegészítés2019'!$A50,'13.mell_ÖNKfeladatok2019'!I$166:I$319)</f>
        <v>0</v>
      </c>
      <c r="L50" s="935">
        <f>+SUMIF('13.mell_ÖNKfeladatok2019'!$B$166:$B$319,'14.mell_Önk kiegészítés2019'!$A50,'13.mell_ÖNKfeladatok2019'!J$166:J$319)</f>
        <v>0</v>
      </c>
      <c r="M50" s="935">
        <f>+SUMIF('13.mell_ÖNKfeladatok2019'!$B$166:$B$319,'14.mell_Önk kiegészítés2019'!$A50,'13.mell_ÖNKfeladatok2019'!K$166:K$319)</f>
        <v>0</v>
      </c>
      <c r="N50" s="935">
        <f>+SUMIF('13.mell_ÖNKfeladatok2019'!$B$166:$B$319,'14.mell_Önk kiegészítés2019'!$A50,'13.mell_ÖNKfeladatok2019'!L$166:L$319)</f>
        <v>0</v>
      </c>
      <c r="O50" s="935">
        <f>+SUMIF('13.mell_ÖNKfeladatok2019'!$B$166:$B$319,'14.mell_Önk kiegészítés2019'!$A50,'13.mell_ÖNKfeladatok2019'!M$166:M$319)</f>
        <v>0</v>
      </c>
      <c r="P50" s="935">
        <f>+SUMIF('13.mell_ÖNKfeladatok2019'!$B$166:$B$319,'14.mell_Önk kiegészítés2019'!$A50,'13.mell_ÖNKfeladatok2019'!O$166:O$319)</f>
        <v>0</v>
      </c>
      <c r="Q50" s="935">
        <f>+SUMIF('13.mell_ÖNKfeladatok2019'!$B$166:$B$319,'14.mell_Önk kiegészítés2019'!$A50,'13.mell_ÖNKfeladatok2019'!P$166:P$319)</f>
        <v>0</v>
      </c>
      <c r="R50" s="935">
        <f>+SUMIF('13.mell_ÖNKfeladatok2019'!$B$166:$B$319,'14.mell_Önk kiegészítés2019'!$A50,'13.mell_ÖNKfeladatok2019'!Q$166:Q$319)</f>
        <v>0</v>
      </c>
      <c r="S50" s="936">
        <f>SUM(K50:R50)</f>
        <v>0</v>
      </c>
      <c r="T50" s="609">
        <f>S50-J50</f>
        <v>0</v>
      </c>
      <c r="U50" s="1363">
        <f>+ROUND(SUMIF('10.mell_támogatások2019'!$B$6:$B$136,'14.mell_Önk kiegészítés2019'!$A50,'10.mell_támogatások2019'!D$6:D$136)/1000,0)</f>
        <v>0</v>
      </c>
      <c r="V50" s="612">
        <f>+T50-U50</f>
        <v>0</v>
      </c>
    </row>
    <row r="51" spans="1:41" s="593" customFormat="1" ht="12.75" thickBot="1">
      <c r="A51" s="552" t="s">
        <v>760</v>
      </c>
      <c r="B51" s="553" t="s">
        <v>776</v>
      </c>
      <c r="C51" s="931">
        <f>SUM(C50)</f>
        <v>0</v>
      </c>
      <c r="D51" s="931">
        <f t="shared" ref="D51:V51" si="18">SUM(D50)</f>
        <v>0</v>
      </c>
      <c r="E51" s="931">
        <f t="shared" si="18"/>
        <v>0</v>
      </c>
      <c r="F51" s="931">
        <f t="shared" si="18"/>
        <v>0</v>
      </c>
      <c r="G51" s="931">
        <f t="shared" si="18"/>
        <v>0</v>
      </c>
      <c r="H51" s="931">
        <f t="shared" si="18"/>
        <v>0</v>
      </c>
      <c r="I51" s="931">
        <f t="shared" si="18"/>
        <v>0</v>
      </c>
      <c r="J51" s="932">
        <f t="shared" si="18"/>
        <v>0</v>
      </c>
      <c r="K51" s="931">
        <f t="shared" si="18"/>
        <v>0</v>
      </c>
      <c r="L51" s="931">
        <f t="shared" si="18"/>
        <v>0</v>
      </c>
      <c r="M51" s="931">
        <f t="shared" si="18"/>
        <v>0</v>
      </c>
      <c r="N51" s="931">
        <f t="shared" si="18"/>
        <v>0</v>
      </c>
      <c r="O51" s="931">
        <f t="shared" si="18"/>
        <v>0</v>
      </c>
      <c r="P51" s="931">
        <f t="shared" si="18"/>
        <v>0</v>
      </c>
      <c r="Q51" s="931">
        <f t="shared" si="18"/>
        <v>0</v>
      </c>
      <c r="R51" s="931">
        <f t="shared" si="18"/>
        <v>0</v>
      </c>
      <c r="S51" s="932">
        <f t="shared" si="18"/>
        <v>0</v>
      </c>
      <c r="T51" s="931">
        <f t="shared" si="18"/>
        <v>0</v>
      </c>
      <c r="U51" s="1364">
        <f t="shared" si="18"/>
        <v>0</v>
      </c>
      <c r="V51" s="932">
        <f t="shared" si="18"/>
        <v>0</v>
      </c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</row>
    <row r="52" spans="1:41" s="593" customFormat="1" ht="12.75" thickBot="1">
      <c r="A52" s="540" t="s">
        <v>20</v>
      </c>
      <c r="B52" s="557" t="s">
        <v>423</v>
      </c>
      <c r="C52" s="618">
        <f>+C47+C49+C51</f>
        <v>0</v>
      </c>
      <c r="D52" s="619">
        <f t="shared" ref="D52:V52" si="19">+D47+D49+D51</f>
        <v>0</v>
      </c>
      <c r="E52" s="619">
        <f t="shared" si="19"/>
        <v>500</v>
      </c>
      <c r="F52" s="619">
        <f t="shared" si="19"/>
        <v>0</v>
      </c>
      <c r="G52" s="619">
        <f t="shared" si="19"/>
        <v>0</v>
      </c>
      <c r="H52" s="619">
        <f t="shared" si="19"/>
        <v>0</v>
      </c>
      <c r="I52" s="620">
        <f t="shared" si="19"/>
        <v>0</v>
      </c>
      <c r="J52" s="621">
        <f t="shared" si="19"/>
        <v>500</v>
      </c>
      <c r="K52" s="618">
        <f t="shared" si="19"/>
        <v>24615</v>
      </c>
      <c r="L52" s="618">
        <f t="shared" si="19"/>
        <v>4809</v>
      </c>
      <c r="M52" s="618">
        <f t="shared" si="19"/>
        <v>13797</v>
      </c>
      <c r="N52" s="618">
        <f t="shared" si="19"/>
        <v>0</v>
      </c>
      <c r="O52" s="618">
        <f t="shared" si="19"/>
        <v>0</v>
      </c>
      <c r="P52" s="618">
        <f t="shared" si="19"/>
        <v>11051</v>
      </c>
      <c r="Q52" s="618">
        <f t="shared" si="19"/>
        <v>0</v>
      </c>
      <c r="R52" s="618">
        <f t="shared" si="19"/>
        <v>0</v>
      </c>
      <c r="S52" s="621">
        <f t="shared" si="19"/>
        <v>54272</v>
      </c>
      <c r="T52" s="618">
        <f t="shared" si="19"/>
        <v>53772</v>
      </c>
      <c r="U52" s="620">
        <f t="shared" si="19"/>
        <v>19679</v>
      </c>
      <c r="V52" s="621">
        <f t="shared" si="19"/>
        <v>34093</v>
      </c>
      <c r="X52" s="593">
        <f>+'13.mell_ÖNKfeladatok2019'!G135-J52</f>
        <v>0</v>
      </c>
      <c r="Y52" s="593">
        <f>+'13.mell_ÖNKfeladatok2019'!G296-S52</f>
        <v>0</v>
      </c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</row>
    <row r="53" spans="1:41" s="185" customFormat="1" ht="12.75" thickBot="1">
      <c r="A53" s="578"/>
      <c r="B53" s="633"/>
      <c r="C53" s="622"/>
      <c r="D53" s="623"/>
      <c r="E53" s="623"/>
      <c r="F53" s="623"/>
      <c r="G53" s="623"/>
      <c r="H53" s="623"/>
      <c r="I53" s="624"/>
      <c r="J53" s="625"/>
      <c r="K53" s="634"/>
      <c r="L53" s="634"/>
      <c r="M53" s="634"/>
      <c r="N53" s="634"/>
      <c r="O53" s="634"/>
      <c r="P53" s="634"/>
      <c r="Q53" s="634"/>
      <c r="R53" s="634"/>
      <c r="S53" s="632"/>
      <c r="T53" s="629"/>
      <c r="U53" s="1365"/>
      <c r="V53" s="632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</row>
    <row r="54" spans="1:41" ht="12.75" thickBot="1">
      <c r="A54" s="876">
        <f>+A50+1</f>
        <v>29</v>
      </c>
      <c r="B54" s="781" t="s">
        <v>870</v>
      </c>
      <c r="C54" s="924">
        <f>+SUMIF('13.mell_ÖNKfeladatok2019'!$B$5:$B$158,'14.mell_Önk kiegészítés2019'!$A54,'13.mell_ÖNKfeladatok2019'!I$5:I$158)</f>
        <v>0</v>
      </c>
      <c r="D54" s="924">
        <f>+SUMIF('13.mell_ÖNKfeladatok2019'!$B$5:$B$158,'14.mell_Önk kiegészítés2019'!$A54,'13.mell_ÖNKfeladatok2019'!J$5:J$158)</f>
        <v>0</v>
      </c>
      <c r="E54" s="924">
        <f>+SUMIF('13.mell_ÖNKfeladatok2019'!$B$5:$B$158,'14.mell_Önk kiegészítés2019'!$A54,'13.mell_ÖNKfeladatok2019'!K$5:K$158)</f>
        <v>0</v>
      </c>
      <c r="F54" s="924">
        <f>+SUMIF('13.mell_ÖNKfeladatok2019'!$B$5:$B$158,'14.mell_Önk kiegészítés2019'!$A54,'13.mell_ÖNKfeladatok2019'!L$5:L$158)</f>
        <v>0</v>
      </c>
      <c r="G54" s="924">
        <f>+SUMIF('13.mell_ÖNKfeladatok2019'!$B$5:$B$158,'14.mell_Önk kiegészítés2019'!$A54,'13.mell_ÖNKfeladatok2019'!N$5:N$158)</f>
        <v>0</v>
      </c>
      <c r="H54" s="924">
        <f>+SUMIF('13.mell_ÖNKfeladatok2019'!$B$5:$B$158,'14.mell_Önk kiegészítés2019'!$A54,'13.mell_ÖNKfeladatok2019'!O$5:O$158)</f>
        <v>0</v>
      </c>
      <c r="I54" s="924">
        <f>+SUMIF('13.mell_ÖNKfeladatok2019'!$B$5:$B$158,'14.mell_Önk kiegészítés2019'!$A54,'13.mell_ÖNKfeladatok2019'!P$5:P$158)</f>
        <v>0</v>
      </c>
      <c r="J54" s="782">
        <f>SUM(C54:I54)</f>
        <v>0</v>
      </c>
      <c r="K54" s="924">
        <f>+SUMIF('13.mell_ÖNKfeladatok2019'!$B$166:$B$319,'14.mell_Önk kiegészítés2019'!$A54,'13.mell_ÖNKfeladatok2019'!I$166:I$319)</f>
        <v>0</v>
      </c>
      <c r="L54" s="924">
        <f>+SUMIF('13.mell_ÖNKfeladatok2019'!$B$166:$B$319,'14.mell_Önk kiegészítés2019'!$A54,'13.mell_ÖNKfeladatok2019'!J$166:J$319)</f>
        <v>0</v>
      </c>
      <c r="M54" s="924">
        <f>+SUMIF('13.mell_ÖNKfeladatok2019'!$B$166:$B$319,'14.mell_Önk kiegészítés2019'!$A54,'13.mell_ÖNKfeladatok2019'!K$166:K$319)</f>
        <v>0</v>
      </c>
      <c r="N54" s="924">
        <f>+SUMIF('13.mell_ÖNKfeladatok2019'!$B$166:$B$319,'14.mell_Önk kiegészítés2019'!$A54,'13.mell_ÖNKfeladatok2019'!L$166:L$319)</f>
        <v>0</v>
      </c>
      <c r="O54" s="924">
        <f>+SUMIF('13.mell_ÖNKfeladatok2019'!$B$166:$B$319,'14.mell_Önk kiegészítés2019'!$A54,'13.mell_ÖNKfeladatok2019'!M$166:M$319)</f>
        <v>0</v>
      </c>
      <c r="P54" s="924">
        <f>+SUMIF('13.mell_ÖNKfeladatok2019'!$B$166:$B$319,'14.mell_Önk kiegészítés2019'!$A54,'13.mell_ÖNKfeladatok2019'!O$166:O$319)</f>
        <v>0</v>
      </c>
      <c r="Q54" s="924">
        <f>+SUMIF('13.mell_ÖNKfeladatok2019'!$B$166:$B$319,'14.mell_Önk kiegészítés2019'!$A54,'13.mell_ÖNKfeladatok2019'!P$166:P$319)</f>
        <v>0</v>
      </c>
      <c r="R54" s="924">
        <f>+SUMIF('13.mell_ÖNKfeladatok2019'!$B$166:$B$319,'14.mell_Önk kiegészítés2019'!$A54,'13.mell_ÖNKfeladatok2019'!Q$166:Q$319)</f>
        <v>0</v>
      </c>
      <c r="S54" s="782">
        <f>SUM(K54:R54)</f>
        <v>0</v>
      </c>
      <c r="T54" s="783">
        <f>S54-J54</f>
        <v>0</v>
      </c>
      <c r="U54" s="1360">
        <f>+ROUND(SUMIF('10.mell_támogatások2019'!$B$6:$B$136,'14.mell_Önk kiegészítés2019'!$A54,'10.mell_támogatások2019'!D$6:D$136)/1000,0)</f>
        <v>0</v>
      </c>
      <c r="V54" s="784">
        <f>+T54-U54</f>
        <v>0</v>
      </c>
    </row>
    <row r="55" spans="1:41" s="593" customFormat="1" ht="12.75" thickBot="1">
      <c r="A55" s="365" t="s">
        <v>895</v>
      </c>
      <c r="B55" s="537" t="s">
        <v>870</v>
      </c>
      <c r="C55" s="609">
        <f>SUM(C54)</f>
        <v>0</v>
      </c>
      <c r="D55" s="609">
        <f t="shared" ref="D55:V55" si="20">SUM(D54)</f>
        <v>0</v>
      </c>
      <c r="E55" s="609">
        <f t="shared" si="20"/>
        <v>0</v>
      </c>
      <c r="F55" s="609">
        <f t="shared" si="20"/>
        <v>0</v>
      </c>
      <c r="G55" s="609">
        <f t="shared" si="20"/>
        <v>0</v>
      </c>
      <c r="H55" s="609">
        <f t="shared" si="20"/>
        <v>0</v>
      </c>
      <c r="I55" s="609">
        <f t="shared" si="20"/>
        <v>0</v>
      </c>
      <c r="J55" s="612">
        <f t="shared" si="20"/>
        <v>0</v>
      </c>
      <c r="K55" s="609">
        <f t="shared" si="20"/>
        <v>0</v>
      </c>
      <c r="L55" s="609">
        <f t="shared" si="20"/>
        <v>0</v>
      </c>
      <c r="M55" s="609">
        <f t="shared" si="20"/>
        <v>0</v>
      </c>
      <c r="N55" s="609">
        <f t="shared" si="20"/>
        <v>0</v>
      </c>
      <c r="O55" s="609">
        <f t="shared" si="20"/>
        <v>0</v>
      </c>
      <c r="P55" s="609">
        <f t="shared" si="20"/>
        <v>0</v>
      </c>
      <c r="Q55" s="609">
        <f t="shared" si="20"/>
        <v>0</v>
      </c>
      <c r="R55" s="609">
        <f t="shared" si="20"/>
        <v>0</v>
      </c>
      <c r="S55" s="612">
        <f t="shared" si="20"/>
        <v>0</v>
      </c>
      <c r="T55" s="609">
        <f t="shared" si="20"/>
        <v>0</v>
      </c>
      <c r="U55" s="613">
        <f t="shared" si="20"/>
        <v>0</v>
      </c>
      <c r="V55" s="612">
        <f t="shared" si="20"/>
        <v>0</v>
      </c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</row>
    <row r="56" spans="1:41" ht="12.75" thickBot="1">
      <c r="A56" s="933">
        <f>+A54+1</f>
        <v>30</v>
      </c>
      <c r="B56" s="934" t="s">
        <v>1092</v>
      </c>
      <c r="C56" s="935">
        <f>+SUMIF('13.mell_ÖNKfeladatok2019'!$B$5:$B$158,'14.mell_Önk kiegészítés2019'!$A56,'13.mell_ÖNKfeladatok2019'!I$5:I$158)</f>
        <v>3240</v>
      </c>
      <c r="D56" s="935">
        <f>+SUMIF('13.mell_ÖNKfeladatok2019'!$B$5:$B$158,'14.mell_Önk kiegészítés2019'!$A56,'13.mell_ÖNKfeladatok2019'!J$5:J$158)</f>
        <v>12570</v>
      </c>
      <c r="E56" s="935">
        <f>+SUMIF('13.mell_ÖNKfeladatok2019'!$B$5:$B$158,'14.mell_Önk kiegészítés2019'!$A56,'13.mell_ÖNKfeladatok2019'!K$5:K$158)</f>
        <v>0</v>
      </c>
      <c r="F56" s="935">
        <f>+SUMIF('13.mell_ÖNKfeladatok2019'!$B$5:$B$158,'14.mell_Önk kiegészítés2019'!$A56,'13.mell_ÖNKfeladatok2019'!L$5:L$158)</f>
        <v>0</v>
      </c>
      <c r="G56" s="935">
        <f>+SUMIF('13.mell_ÖNKfeladatok2019'!$B$5:$B$158,'14.mell_Önk kiegészítés2019'!$A56,'13.mell_ÖNKfeladatok2019'!N$5:N$158)</f>
        <v>0</v>
      </c>
      <c r="H56" s="935">
        <f>+SUMIF('13.mell_ÖNKfeladatok2019'!$B$5:$B$158,'14.mell_Önk kiegészítés2019'!$A56,'13.mell_ÖNKfeladatok2019'!O$5:O$158)</f>
        <v>0</v>
      </c>
      <c r="I56" s="935">
        <f>+SUMIF('13.mell_ÖNKfeladatok2019'!$B$5:$B$158,'14.mell_Önk kiegészítés2019'!$A56,'13.mell_ÖNKfeladatok2019'!P$5:P$158)</f>
        <v>0</v>
      </c>
      <c r="J56" s="936">
        <f>SUM(C56:I56)</f>
        <v>15810</v>
      </c>
      <c r="K56" s="935">
        <f>+SUMIF('13.mell_ÖNKfeladatok2019'!$B$166:$B$319,'14.mell_Önk kiegészítés2019'!$A56,'13.mell_ÖNKfeladatok2019'!I$166:I$319)</f>
        <v>8952</v>
      </c>
      <c r="L56" s="935">
        <f>+SUMIF('13.mell_ÖNKfeladatok2019'!$B$166:$B$319,'14.mell_Önk kiegészítés2019'!$A56,'13.mell_ÖNKfeladatok2019'!J$166:J$319)</f>
        <v>1433</v>
      </c>
      <c r="M56" s="935">
        <f>+SUMIF('13.mell_ÖNKfeladatok2019'!$B$166:$B$319,'14.mell_Önk kiegészítés2019'!$A56,'13.mell_ÖNKfeladatok2019'!K$166:K$319)</f>
        <v>1035</v>
      </c>
      <c r="N56" s="935">
        <f>+SUMIF('13.mell_ÖNKfeladatok2019'!$B$166:$B$319,'14.mell_Önk kiegészítés2019'!$A56,'13.mell_ÖNKfeladatok2019'!L$166:L$319)</f>
        <v>0</v>
      </c>
      <c r="O56" s="935">
        <f>+SUMIF('13.mell_ÖNKfeladatok2019'!$B$166:$B$319,'14.mell_Önk kiegészítés2019'!$A56,'13.mell_ÖNKfeladatok2019'!M$166:M$319)</f>
        <v>3090</v>
      </c>
      <c r="P56" s="935">
        <f>+SUMIF('13.mell_ÖNKfeladatok2019'!$B$166:$B$319,'14.mell_Önk kiegészítés2019'!$A56,'13.mell_ÖNKfeladatok2019'!O$166:O$319)</f>
        <v>1300</v>
      </c>
      <c r="Q56" s="935">
        <f>+SUMIF('13.mell_ÖNKfeladatok2019'!$B$166:$B$319,'14.mell_Önk kiegészítés2019'!$A56,'13.mell_ÖNKfeladatok2019'!P$166:P$319)</f>
        <v>0</v>
      </c>
      <c r="R56" s="935">
        <f>+SUMIF('13.mell_ÖNKfeladatok2019'!$B$166:$B$319,'14.mell_Önk kiegészítés2019'!$A56,'13.mell_ÖNKfeladatok2019'!Q$166:Q$319)</f>
        <v>0</v>
      </c>
      <c r="S56" s="936">
        <f>SUM(K56:R56)</f>
        <v>15810</v>
      </c>
      <c r="T56" s="609">
        <f>S56-J56</f>
        <v>0</v>
      </c>
      <c r="U56" s="1363">
        <f>+ROUND(SUMIF('10.mell_támogatások2019'!$B$6:$B$136,'14.mell_Önk kiegészítés2019'!$A56,'10.mell_támogatások2019'!D$6:D$136)/1000,0)</f>
        <v>0</v>
      </c>
      <c r="V56" s="612">
        <f>+T56-U56</f>
        <v>0</v>
      </c>
    </row>
    <row r="57" spans="1:41" s="593" customFormat="1" ht="12.75" thickBot="1">
      <c r="A57" s="552" t="s">
        <v>896</v>
      </c>
      <c r="B57" s="553" t="s">
        <v>871</v>
      </c>
      <c r="C57" s="609">
        <f>SUM(C56)</f>
        <v>3240</v>
      </c>
      <c r="D57" s="609">
        <f t="shared" ref="D57:V57" si="21">SUM(D56)</f>
        <v>12570</v>
      </c>
      <c r="E57" s="609">
        <f t="shared" si="21"/>
        <v>0</v>
      </c>
      <c r="F57" s="609">
        <f t="shared" si="21"/>
        <v>0</v>
      </c>
      <c r="G57" s="609">
        <f t="shared" si="21"/>
        <v>0</v>
      </c>
      <c r="H57" s="609">
        <f t="shared" si="21"/>
        <v>0</v>
      </c>
      <c r="I57" s="609">
        <f t="shared" si="21"/>
        <v>0</v>
      </c>
      <c r="J57" s="612">
        <f t="shared" si="21"/>
        <v>15810</v>
      </c>
      <c r="K57" s="609">
        <f t="shared" si="21"/>
        <v>8952</v>
      </c>
      <c r="L57" s="609">
        <f t="shared" si="21"/>
        <v>1433</v>
      </c>
      <c r="M57" s="609">
        <f t="shared" si="21"/>
        <v>1035</v>
      </c>
      <c r="N57" s="609">
        <f t="shared" si="21"/>
        <v>0</v>
      </c>
      <c r="O57" s="609">
        <f t="shared" si="21"/>
        <v>3090</v>
      </c>
      <c r="P57" s="609">
        <f t="shared" si="21"/>
        <v>1300</v>
      </c>
      <c r="Q57" s="609">
        <f t="shared" si="21"/>
        <v>0</v>
      </c>
      <c r="R57" s="609">
        <f t="shared" si="21"/>
        <v>0</v>
      </c>
      <c r="S57" s="612">
        <f t="shared" si="21"/>
        <v>15810</v>
      </c>
      <c r="T57" s="609">
        <f t="shared" si="21"/>
        <v>0</v>
      </c>
      <c r="U57" s="613">
        <f t="shared" si="21"/>
        <v>0</v>
      </c>
      <c r="V57" s="612">
        <f t="shared" si="21"/>
        <v>0</v>
      </c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</row>
    <row r="58" spans="1:41" ht="12.75" thickBot="1">
      <c r="A58" s="933">
        <f>+A56+1</f>
        <v>31</v>
      </c>
      <c r="B58" s="934" t="s">
        <v>898</v>
      </c>
      <c r="C58" s="935">
        <f>+SUMIF('13.mell_ÖNKfeladatok2019'!$B$5:$B$158,'14.mell_Önk kiegészítés2019'!$A58,'13.mell_ÖNKfeladatok2019'!I$5:I$158)</f>
        <v>0</v>
      </c>
      <c r="D58" s="935">
        <f>+SUMIF('13.mell_ÖNKfeladatok2019'!$B$5:$B$158,'14.mell_Önk kiegészítés2019'!$A58,'13.mell_ÖNKfeladatok2019'!J$5:J$158)</f>
        <v>0</v>
      </c>
      <c r="E58" s="935">
        <f>+SUMIF('13.mell_ÖNKfeladatok2019'!$B$5:$B$158,'14.mell_Önk kiegészítés2019'!$A58,'13.mell_ÖNKfeladatok2019'!K$5:K$158)</f>
        <v>0</v>
      </c>
      <c r="F58" s="935">
        <f>+SUMIF('13.mell_ÖNKfeladatok2019'!$B$5:$B$158,'14.mell_Önk kiegészítés2019'!$A58,'13.mell_ÖNKfeladatok2019'!L$5:L$158)</f>
        <v>0</v>
      </c>
      <c r="G58" s="935">
        <f>+SUMIF('13.mell_ÖNKfeladatok2019'!$B$5:$B$158,'14.mell_Önk kiegészítés2019'!$A58,'13.mell_ÖNKfeladatok2019'!N$5:N$158)</f>
        <v>0</v>
      </c>
      <c r="H58" s="935">
        <f>+SUMIF('13.mell_ÖNKfeladatok2019'!$B$5:$B$158,'14.mell_Önk kiegészítés2019'!$A58,'13.mell_ÖNKfeladatok2019'!O$5:O$158)</f>
        <v>0</v>
      </c>
      <c r="I58" s="935">
        <f>+SUMIF('13.mell_ÖNKfeladatok2019'!$B$5:$B$158,'14.mell_Önk kiegészítés2019'!$A58,'13.mell_ÖNKfeladatok2019'!P$5:P$158)</f>
        <v>0</v>
      </c>
      <c r="J58" s="936">
        <f>SUM(C58:I58)</f>
        <v>0</v>
      </c>
      <c r="K58" s="935">
        <f>+SUMIF('13.mell_ÖNKfeladatok2019'!$B$166:$B$319,'14.mell_Önk kiegészítés2019'!$A58,'13.mell_ÖNKfeladatok2019'!I$166:I$319)</f>
        <v>0</v>
      </c>
      <c r="L58" s="935">
        <f>+SUMIF('13.mell_ÖNKfeladatok2019'!$B$166:$B$319,'14.mell_Önk kiegészítés2019'!$A58,'13.mell_ÖNKfeladatok2019'!J$166:J$319)</f>
        <v>0</v>
      </c>
      <c r="M58" s="935">
        <f>+SUMIF('13.mell_ÖNKfeladatok2019'!$B$166:$B$319,'14.mell_Önk kiegészítés2019'!$A58,'13.mell_ÖNKfeladatok2019'!K$166:K$319)</f>
        <v>0</v>
      </c>
      <c r="N58" s="935">
        <f>+SUMIF('13.mell_ÖNKfeladatok2019'!$B$166:$B$319,'14.mell_Önk kiegészítés2019'!$A58,'13.mell_ÖNKfeladatok2019'!L$166:L$319)</f>
        <v>0</v>
      </c>
      <c r="O58" s="935">
        <f>+SUMIF('13.mell_ÖNKfeladatok2019'!$B$166:$B$319,'14.mell_Önk kiegészítés2019'!$A58,'13.mell_ÖNKfeladatok2019'!M$166:M$319)</f>
        <v>0</v>
      </c>
      <c r="P58" s="935">
        <f>+SUMIF('13.mell_ÖNKfeladatok2019'!$B$166:$B$319,'14.mell_Önk kiegészítés2019'!$A58,'13.mell_ÖNKfeladatok2019'!O$166:O$319)</f>
        <v>0</v>
      </c>
      <c r="Q58" s="935">
        <f>+SUMIF('13.mell_ÖNKfeladatok2019'!$B$166:$B$319,'14.mell_Önk kiegészítés2019'!$A58,'13.mell_ÖNKfeladatok2019'!P$166:P$319)</f>
        <v>0</v>
      </c>
      <c r="R58" s="935">
        <f>+SUMIF('13.mell_ÖNKfeladatok2019'!$B$166:$B$319,'14.mell_Önk kiegészítés2019'!$A58,'13.mell_ÖNKfeladatok2019'!Q$166:Q$319)</f>
        <v>0</v>
      </c>
      <c r="S58" s="936">
        <f>SUM(K58:R58)</f>
        <v>0</v>
      </c>
      <c r="T58" s="609">
        <f>S58-J58</f>
        <v>0</v>
      </c>
      <c r="U58" s="1363">
        <f>+ROUND(SUMIF('10.mell_támogatások2019'!$B$6:$B$136,'14.mell_Önk kiegészítés2019'!$A58,'10.mell_támogatások2019'!D$6:D$136)/1000,0)</f>
        <v>0</v>
      </c>
      <c r="V58" s="612">
        <f>+T58-U58</f>
        <v>0</v>
      </c>
    </row>
    <row r="59" spans="1:41" s="593" customFormat="1" ht="12.75" thickBot="1">
      <c r="A59" s="552" t="s">
        <v>897</v>
      </c>
      <c r="B59" s="553" t="s">
        <v>898</v>
      </c>
      <c r="C59" s="609">
        <f>SUM(C58)</f>
        <v>0</v>
      </c>
      <c r="D59" s="609">
        <f t="shared" ref="D59:V59" si="22">SUM(D58)</f>
        <v>0</v>
      </c>
      <c r="E59" s="609">
        <f t="shared" si="22"/>
        <v>0</v>
      </c>
      <c r="F59" s="609">
        <f t="shared" si="22"/>
        <v>0</v>
      </c>
      <c r="G59" s="609">
        <f t="shared" si="22"/>
        <v>0</v>
      </c>
      <c r="H59" s="609">
        <f t="shared" si="22"/>
        <v>0</v>
      </c>
      <c r="I59" s="609">
        <f t="shared" si="22"/>
        <v>0</v>
      </c>
      <c r="J59" s="612">
        <f t="shared" si="22"/>
        <v>0</v>
      </c>
      <c r="K59" s="609">
        <f t="shared" si="22"/>
        <v>0</v>
      </c>
      <c r="L59" s="609">
        <f t="shared" si="22"/>
        <v>0</v>
      </c>
      <c r="M59" s="609">
        <f t="shared" si="22"/>
        <v>0</v>
      </c>
      <c r="N59" s="609">
        <f t="shared" si="22"/>
        <v>0</v>
      </c>
      <c r="O59" s="609">
        <f t="shared" si="22"/>
        <v>0</v>
      </c>
      <c r="P59" s="609">
        <f t="shared" si="22"/>
        <v>0</v>
      </c>
      <c r="Q59" s="609">
        <f t="shared" si="22"/>
        <v>0</v>
      </c>
      <c r="R59" s="609">
        <f t="shared" si="22"/>
        <v>0</v>
      </c>
      <c r="S59" s="612">
        <f t="shared" si="22"/>
        <v>0</v>
      </c>
      <c r="T59" s="609">
        <f t="shared" si="22"/>
        <v>0</v>
      </c>
      <c r="U59" s="613">
        <f t="shared" si="22"/>
        <v>0</v>
      </c>
      <c r="V59" s="612">
        <f t="shared" si="22"/>
        <v>0</v>
      </c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</row>
    <row r="60" spans="1:41" s="593" customFormat="1" ht="12.75" thickBot="1">
      <c r="A60" s="540" t="s">
        <v>560</v>
      </c>
      <c r="B60" s="557" t="s">
        <v>872</v>
      </c>
      <c r="C60" s="618">
        <f>+C55+C57+C59</f>
        <v>3240</v>
      </c>
      <c r="D60" s="618">
        <f t="shared" ref="D60:V60" si="23">+D55+D57+D59</f>
        <v>12570</v>
      </c>
      <c r="E60" s="618">
        <f t="shared" si="23"/>
        <v>0</v>
      </c>
      <c r="F60" s="618">
        <f t="shared" si="23"/>
        <v>0</v>
      </c>
      <c r="G60" s="618">
        <f t="shared" si="23"/>
        <v>0</v>
      </c>
      <c r="H60" s="618">
        <f t="shared" si="23"/>
        <v>0</v>
      </c>
      <c r="I60" s="618">
        <f t="shared" si="23"/>
        <v>0</v>
      </c>
      <c r="J60" s="621">
        <f t="shared" si="23"/>
        <v>15810</v>
      </c>
      <c r="K60" s="618">
        <f t="shared" si="23"/>
        <v>8952</v>
      </c>
      <c r="L60" s="618">
        <f t="shared" si="23"/>
        <v>1433</v>
      </c>
      <c r="M60" s="618">
        <f t="shared" si="23"/>
        <v>1035</v>
      </c>
      <c r="N60" s="618">
        <f t="shared" si="23"/>
        <v>0</v>
      </c>
      <c r="O60" s="618">
        <f t="shared" si="23"/>
        <v>3090</v>
      </c>
      <c r="P60" s="618">
        <f t="shared" si="23"/>
        <v>1300</v>
      </c>
      <c r="Q60" s="618">
        <f t="shared" si="23"/>
        <v>0</v>
      </c>
      <c r="R60" s="618">
        <f t="shared" si="23"/>
        <v>0</v>
      </c>
      <c r="S60" s="621">
        <f t="shared" si="23"/>
        <v>15810</v>
      </c>
      <c r="T60" s="618">
        <f t="shared" si="23"/>
        <v>0</v>
      </c>
      <c r="U60" s="620">
        <f t="shared" si="23"/>
        <v>0</v>
      </c>
      <c r="V60" s="621">
        <f t="shared" si="23"/>
        <v>0</v>
      </c>
      <c r="X60" s="593">
        <f>+'13.mell_ÖNKfeladatok2019'!G144-J60</f>
        <v>0</v>
      </c>
      <c r="Y60" s="593">
        <f>+'13.mell_ÖNKfeladatok2019'!G305-S60</f>
        <v>0</v>
      </c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</row>
    <row r="61" spans="1:41" s="185" customFormat="1" ht="12.75" thickBot="1">
      <c r="A61" s="578"/>
      <c r="B61" s="633"/>
      <c r="C61" s="622"/>
      <c r="D61" s="623"/>
      <c r="E61" s="623"/>
      <c r="F61" s="623"/>
      <c r="G61" s="623"/>
      <c r="H61" s="623"/>
      <c r="I61" s="624"/>
      <c r="J61" s="625"/>
      <c r="K61" s="634"/>
      <c r="L61" s="634"/>
      <c r="M61" s="634"/>
      <c r="N61" s="634"/>
      <c r="O61" s="634"/>
      <c r="P61" s="634"/>
      <c r="Q61" s="634"/>
      <c r="R61" s="634"/>
      <c r="S61" s="632"/>
      <c r="T61" s="629"/>
      <c r="U61" s="1365"/>
      <c r="V61" s="632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</row>
    <row r="62" spans="1:41" ht="12.75" thickBot="1">
      <c r="A62" s="876">
        <f>+A58+1</f>
        <v>32</v>
      </c>
      <c r="B62" s="781" t="s">
        <v>1175</v>
      </c>
      <c r="C62" s="924">
        <f>+SUMIF('13.mell_ÖNKfeladatok2019'!$B$5:$B$158,'14.mell_Önk kiegészítés2019'!$A62,'13.mell_ÖNKfeladatok2019'!I$5:I$158)</f>
        <v>0</v>
      </c>
      <c r="D62" s="924">
        <f>+SUMIF('13.mell_ÖNKfeladatok2019'!$B$5:$B$158,'14.mell_Önk kiegészítés2019'!$A62,'13.mell_ÖNKfeladatok2019'!J$5:J$158)</f>
        <v>0</v>
      </c>
      <c r="E62" s="924">
        <f>+SUMIF('13.mell_ÖNKfeladatok2019'!$B$5:$B$158,'14.mell_Önk kiegészítés2019'!$A62,'13.mell_ÖNKfeladatok2019'!K$5:K$158)</f>
        <v>0</v>
      </c>
      <c r="F62" s="924">
        <f>+SUMIF('13.mell_ÖNKfeladatok2019'!$B$5:$B$158,'14.mell_Önk kiegészítés2019'!$A62,'13.mell_ÖNKfeladatok2019'!L$5:L$158)</f>
        <v>0</v>
      </c>
      <c r="G62" s="924">
        <f>+SUMIF('13.mell_ÖNKfeladatok2019'!$B$5:$B$158,'14.mell_Önk kiegészítés2019'!$A62,'13.mell_ÖNKfeladatok2019'!N$5:N$158)</f>
        <v>0</v>
      </c>
      <c r="H62" s="924">
        <f>+SUMIF('13.mell_ÖNKfeladatok2019'!$B$5:$B$158,'14.mell_Önk kiegészítés2019'!$A62,'13.mell_ÖNKfeladatok2019'!O$5:O$158)</f>
        <v>0</v>
      </c>
      <c r="I62" s="924">
        <f>+SUMIF('13.mell_ÖNKfeladatok2019'!$B$5:$B$158,'14.mell_Önk kiegészítés2019'!$A62,'13.mell_ÖNKfeladatok2019'!P$5:P$158)</f>
        <v>0</v>
      </c>
      <c r="J62" s="782">
        <f>SUM(C62:I62)</f>
        <v>0</v>
      </c>
      <c r="K62" s="924">
        <f>+SUMIF('13.mell_ÖNKfeladatok2019'!$B$166:$B$319,'14.mell_Önk kiegészítés2019'!$A62,'13.mell_ÖNKfeladatok2019'!I$166:I$319)</f>
        <v>54370</v>
      </c>
      <c r="L62" s="924">
        <f>+SUMIF('13.mell_ÖNKfeladatok2019'!$B$166:$B$319,'14.mell_Önk kiegészítés2019'!$A62,'13.mell_ÖNKfeladatok2019'!J$166:J$319)</f>
        <v>10571</v>
      </c>
      <c r="M62" s="924">
        <f>+SUMIF('13.mell_ÖNKfeladatok2019'!$B$166:$B$319,'14.mell_Önk kiegészítés2019'!$A62,'13.mell_ÖNKfeladatok2019'!K$166:K$319)</f>
        <v>8920</v>
      </c>
      <c r="N62" s="924">
        <f>+SUMIF('13.mell_ÖNKfeladatok2019'!$B$166:$B$319,'14.mell_Önk kiegészítés2019'!$A62,'13.mell_ÖNKfeladatok2019'!L$166:L$319)</f>
        <v>0</v>
      </c>
      <c r="O62" s="924">
        <f>+SUMIF('13.mell_ÖNKfeladatok2019'!$B$166:$B$319,'14.mell_Önk kiegészítés2019'!$A62,'13.mell_ÖNKfeladatok2019'!M$166:M$319)</f>
        <v>0</v>
      </c>
      <c r="P62" s="924">
        <f>+SUMIF('13.mell_ÖNKfeladatok2019'!$B$166:$B$319,'14.mell_Önk kiegészítés2019'!$A62,'13.mell_ÖNKfeladatok2019'!O$166:O$319)</f>
        <v>0</v>
      </c>
      <c r="Q62" s="924">
        <f>+SUMIF('13.mell_ÖNKfeladatok2019'!$B$166:$B$319,'14.mell_Önk kiegészítés2019'!$A62,'13.mell_ÖNKfeladatok2019'!P$166:P$319)</f>
        <v>0</v>
      </c>
      <c r="R62" s="924">
        <f>+SUMIF('13.mell_ÖNKfeladatok2019'!$B$166:$B$319,'14.mell_Önk kiegészítés2019'!$A62,'13.mell_ÖNKfeladatok2019'!Q$166:Q$319)</f>
        <v>0</v>
      </c>
      <c r="S62" s="782">
        <f>SUM(K62:R62)</f>
        <v>73861</v>
      </c>
      <c r="T62" s="783">
        <f>S62-J62</f>
        <v>73861</v>
      </c>
      <c r="U62" s="1360">
        <f>+ROUND(SUMIF('10.mell_támogatások2019'!$B$6:$B$136,'14.mell_Önk kiegészítés2019'!$A62,'10.mell_támogatások2019'!D$6:D$136)/1000,0)</f>
        <v>73861</v>
      </c>
      <c r="V62" s="784">
        <f>+T62-U62</f>
        <v>0</v>
      </c>
    </row>
    <row r="63" spans="1:41" s="593" customFormat="1" ht="12.75" thickBot="1">
      <c r="A63" s="365" t="s">
        <v>1163</v>
      </c>
      <c r="B63" s="537" t="s">
        <v>1115</v>
      </c>
      <c r="C63" s="609">
        <f t="shared" ref="C63:V63" si="24">SUM(C62)</f>
        <v>0</v>
      </c>
      <c r="D63" s="609">
        <f t="shared" si="24"/>
        <v>0</v>
      </c>
      <c r="E63" s="609">
        <f t="shared" si="24"/>
        <v>0</v>
      </c>
      <c r="F63" s="609">
        <f t="shared" si="24"/>
        <v>0</v>
      </c>
      <c r="G63" s="609">
        <f t="shared" si="24"/>
        <v>0</v>
      </c>
      <c r="H63" s="609">
        <f t="shared" si="24"/>
        <v>0</v>
      </c>
      <c r="I63" s="609">
        <f t="shared" si="24"/>
        <v>0</v>
      </c>
      <c r="J63" s="612">
        <f t="shared" si="24"/>
        <v>0</v>
      </c>
      <c r="K63" s="609">
        <f t="shared" si="24"/>
        <v>54370</v>
      </c>
      <c r="L63" s="609">
        <f t="shared" si="24"/>
        <v>10571</v>
      </c>
      <c r="M63" s="609">
        <f t="shared" si="24"/>
        <v>8920</v>
      </c>
      <c r="N63" s="609">
        <f t="shared" si="24"/>
        <v>0</v>
      </c>
      <c r="O63" s="609">
        <f t="shared" si="24"/>
        <v>0</v>
      </c>
      <c r="P63" s="609">
        <f t="shared" si="24"/>
        <v>0</v>
      </c>
      <c r="Q63" s="609">
        <f t="shared" si="24"/>
        <v>0</v>
      </c>
      <c r="R63" s="609">
        <f t="shared" si="24"/>
        <v>0</v>
      </c>
      <c r="S63" s="612">
        <f t="shared" si="24"/>
        <v>73861</v>
      </c>
      <c r="T63" s="609">
        <f t="shared" si="24"/>
        <v>73861</v>
      </c>
      <c r="U63" s="613">
        <f t="shared" si="24"/>
        <v>73861</v>
      </c>
      <c r="V63" s="612">
        <f t="shared" si="24"/>
        <v>0</v>
      </c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</row>
    <row r="64" spans="1:41" ht="12.75" thickBot="1">
      <c r="A64" s="933">
        <f>+A62+1</f>
        <v>33</v>
      </c>
      <c r="B64" s="934" t="s">
        <v>1117</v>
      </c>
      <c r="C64" s="935">
        <f>+SUMIF('13.mell_ÖNKfeladatok2019'!$B$5:$B$158,'14.mell_Önk kiegészítés2019'!$A64,'13.mell_ÖNKfeladatok2019'!I$5:I$158)</f>
        <v>0</v>
      </c>
      <c r="D64" s="935">
        <f>+SUMIF('13.mell_ÖNKfeladatok2019'!$B$5:$B$158,'14.mell_Önk kiegészítés2019'!$A64,'13.mell_ÖNKfeladatok2019'!J$5:J$158)</f>
        <v>0</v>
      </c>
      <c r="E64" s="935">
        <f>+SUMIF('13.mell_ÖNKfeladatok2019'!$B$5:$B$158,'14.mell_Önk kiegészítés2019'!$A64,'13.mell_ÖNKfeladatok2019'!K$5:K$158)</f>
        <v>0</v>
      </c>
      <c r="F64" s="935">
        <f>+SUMIF('13.mell_ÖNKfeladatok2019'!$B$5:$B$158,'14.mell_Önk kiegészítés2019'!$A64,'13.mell_ÖNKfeladatok2019'!L$5:L$158)</f>
        <v>0</v>
      </c>
      <c r="G64" s="935">
        <f>+SUMIF('13.mell_ÖNKfeladatok2019'!$B$5:$B$158,'14.mell_Önk kiegészítés2019'!$A64,'13.mell_ÖNKfeladatok2019'!N$5:N$158)</f>
        <v>0</v>
      </c>
      <c r="H64" s="935">
        <f>+SUMIF('13.mell_ÖNKfeladatok2019'!$B$5:$B$158,'14.mell_Önk kiegészítés2019'!$A64,'13.mell_ÖNKfeladatok2019'!O$5:O$158)</f>
        <v>0</v>
      </c>
      <c r="I64" s="935">
        <f>+SUMIF('13.mell_ÖNKfeladatok2019'!$B$5:$B$158,'14.mell_Önk kiegészítés2019'!$A64,'13.mell_ÖNKfeladatok2019'!P$5:P$158)</f>
        <v>0</v>
      </c>
      <c r="J64" s="936">
        <f>SUM(C64:I64)</f>
        <v>0</v>
      </c>
      <c r="K64" s="935">
        <f>+SUMIF('13.mell_ÖNKfeladatok2019'!$B$166:$B$319,'14.mell_Önk kiegészítés2019'!$A64,'13.mell_ÖNKfeladatok2019'!I$166:I$319)</f>
        <v>0</v>
      </c>
      <c r="L64" s="935">
        <f>+SUMIF('13.mell_ÖNKfeladatok2019'!$B$166:$B$319,'14.mell_Önk kiegészítés2019'!$A64,'13.mell_ÖNKfeladatok2019'!J$166:J$319)</f>
        <v>0</v>
      </c>
      <c r="M64" s="935">
        <f>+SUMIF('13.mell_ÖNKfeladatok2019'!$B$166:$B$319,'14.mell_Önk kiegészítés2019'!$A64,'13.mell_ÖNKfeladatok2019'!K$166:K$319)</f>
        <v>0</v>
      </c>
      <c r="N64" s="935">
        <f>+SUMIF('13.mell_ÖNKfeladatok2019'!$B$166:$B$319,'14.mell_Önk kiegészítés2019'!$A64,'13.mell_ÖNKfeladatok2019'!L$166:L$319)</f>
        <v>0</v>
      </c>
      <c r="O64" s="935">
        <f>+SUMIF('13.mell_ÖNKfeladatok2019'!$B$166:$B$319,'14.mell_Önk kiegészítés2019'!$A64,'13.mell_ÖNKfeladatok2019'!M$166:M$319)</f>
        <v>0</v>
      </c>
      <c r="P64" s="935">
        <f>+SUMIF('13.mell_ÖNKfeladatok2019'!$B$166:$B$319,'14.mell_Önk kiegészítés2019'!$A64,'13.mell_ÖNKfeladatok2019'!O$166:O$319)</f>
        <v>0</v>
      </c>
      <c r="Q64" s="935">
        <f>+SUMIF('13.mell_ÖNKfeladatok2019'!$B$166:$B$319,'14.mell_Önk kiegészítés2019'!$A64,'13.mell_ÖNKfeladatok2019'!P$166:P$319)</f>
        <v>0</v>
      </c>
      <c r="R64" s="935">
        <f>+SUMIF('13.mell_ÖNKfeladatok2019'!$B$166:$B$319,'14.mell_Önk kiegészítés2019'!$A64,'13.mell_ÖNKfeladatok2019'!Q$166:Q$319)</f>
        <v>0</v>
      </c>
      <c r="S64" s="936">
        <f>SUM(K64:R64)</f>
        <v>0</v>
      </c>
      <c r="T64" s="609">
        <f>S64-J64</f>
        <v>0</v>
      </c>
      <c r="U64" s="1363">
        <f>+ROUND(SUMIF('10.mell_támogatások2019'!$B$6:$B$136,'14.mell_Önk kiegészítés2019'!$A64,'10.mell_támogatások2019'!D$6:D$136)/1000,0)</f>
        <v>0</v>
      </c>
      <c r="V64" s="612">
        <f>+T64-U64</f>
        <v>0</v>
      </c>
    </row>
    <row r="65" spans="1:41" s="593" customFormat="1" ht="12.75" thickBot="1">
      <c r="A65" s="552" t="s">
        <v>1164</v>
      </c>
      <c r="B65" s="553" t="s">
        <v>1116</v>
      </c>
      <c r="C65" s="609">
        <f t="shared" ref="C65:V65" si="25">SUM(C64)</f>
        <v>0</v>
      </c>
      <c r="D65" s="609">
        <f t="shared" si="25"/>
        <v>0</v>
      </c>
      <c r="E65" s="609">
        <f t="shared" si="25"/>
        <v>0</v>
      </c>
      <c r="F65" s="609">
        <f t="shared" si="25"/>
        <v>0</v>
      </c>
      <c r="G65" s="609">
        <f t="shared" si="25"/>
        <v>0</v>
      </c>
      <c r="H65" s="609">
        <f t="shared" si="25"/>
        <v>0</v>
      </c>
      <c r="I65" s="609">
        <f t="shared" si="25"/>
        <v>0</v>
      </c>
      <c r="J65" s="612">
        <f t="shared" si="25"/>
        <v>0</v>
      </c>
      <c r="K65" s="609">
        <f t="shared" si="25"/>
        <v>0</v>
      </c>
      <c r="L65" s="609">
        <f t="shared" si="25"/>
        <v>0</v>
      </c>
      <c r="M65" s="609">
        <f t="shared" si="25"/>
        <v>0</v>
      </c>
      <c r="N65" s="609">
        <f t="shared" si="25"/>
        <v>0</v>
      </c>
      <c r="O65" s="609">
        <f t="shared" si="25"/>
        <v>0</v>
      </c>
      <c r="P65" s="609">
        <f t="shared" si="25"/>
        <v>0</v>
      </c>
      <c r="Q65" s="609">
        <f t="shared" si="25"/>
        <v>0</v>
      </c>
      <c r="R65" s="609">
        <f t="shared" si="25"/>
        <v>0</v>
      </c>
      <c r="S65" s="612">
        <f t="shared" si="25"/>
        <v>0</v>
      </c>
      <c r="T65" s="609">
        <f t="shared" si="25"/>
        <v>0</v>
      </c>
      <c r="U65" s="613">
        <f t="shared" si="25"/>
        <v>0</v>
      </c>
      <c r="V65" s="612">
        <f t="shared" si="25"/>
        <v>0</v>
      </c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</row>
    <row r="66" spans="1:41" ht="12.75" thickBot="1">
      <c r="A66" s="933">
        <f>+A64+1</f>
        <v>34</v>
      </c>
      <c r="B66" s="934" t="s">
        <v>1117</v>
      </c>
      <c r="C66" s="935">
        <f>+SUMIF('13.mell_ÖNKfeladatok2019'!$B$5:$B$158,'14.mell_Önk kiegészítés2019'!$A66,'13.mell_ÖNKfeladatok2019'!I$5:I$158)</f>
        <v>0</v>
      </c>
      <c r="D66" s="935">
        <f>+SUMIF('13.mell_ÖNKfeladatok2019'!$B$5:$B$158,'14.mell_Önk kiegészítés2019'!$A66,'13.mell_ÖNKfeladatok2019'!J$5:J$158)</f>
        <v>0</v>
      </c>
      <c r="E66" s="935">
        <f>+SUMIF('13.mell_ÖNKfeladatok2019'!$B$5:$B$158,'14.mell_Önk kiegészítés2019'!$A66,'13.mell_ÖNKfeladatok2019'!K$5:K$158)</f>
        <v>0</v>
      </c>
      <c r="F66" s="935">
        <f>+SUMIF('13.mell_ÖNKfeladatok2019'!$B$5:$B$158,'14.mell_Önk kiegészítés2019'!$A66,'13.mell_ÖNKfeladatok2019'!L$5:L$158)</f>
        <v>0</v>
      </c>
      <c r="G66" s="935">
        <f>+SUMIF('13.mell_ÖNKfeladatok2019'!$B$5:$B$158,'14.mell_Önk kiegészítés2019'!$A66,'13.mell_ÖNKfeladatok2019'!N$5:N$158)</f>
        <v>0</v>
      </c>
      <c r="H66" s="935">
        <f>+SUMIF('13.mell_ÖNKfeladatok2019'!$B$5:$B$158,'14.mell_Önk kiegészítés2019'!$A66,'13.mell_ÖNKfeladatok2019'!O$5:O$158)</f>
        <v>0</v>
      </c>
      <c r="I66" s="935">
        <f>+SUMIF('13.mell_ÖNKfeladatok2019'!$B$5:$B$158,'14.mell_Önk kiegészítés2019'!$A66,'13.mell_ÖNKfeladatok2019'!P$5:P$158)</f>
        <v>0</v>
      </c>
      <c r="J66" s="936">
        <f>SUM(C66:I66)</f>
        <v>0</v>
      </c>
      <c r="K66" s="935">
        <f>+SUMIF('13.mell_ÖNKfeladatok2019'!$B$166:$B$319,'14.mell_Önk kiegészítés2019'!$A66,'13.mell_ÖNKfeladatok2019'!I$166:I$319)</f>
        <v>0</v>
      </c>
      <c r="L66" s="935">
        <f>+SUMIF('13.mell_ÖNKfeladatok2019'!$B$166:$B$319,'14.mell_Önk kiegészítés2019'!$A66,'13.mell_ÖNKfeladatok2019'!J$166:J$319)</f>
        <v>0</v>
      </c>
      <c r="M66" s="935">
        <f>+SUMIF('13.mell_ÖNKfeladatok2019'!$B$166:$B$319,'14.mell_Önk kiegészítés2019'!$A66,'13.mell_ÖNKfeladatok2019'!K$166:K$319)</f>
        <v>0</v>
      </c>
      <c r="N66" s="935">
        <f>+SUMIF('13.mell_ÖNKfeladatok2019'!$B$166:$B$319,'14.mell_Önk kiegészítés2019'!$A66,'13.mell_ÖNKfeladatok2019'!L$166:L$319)</f>
        <v>0</v>
      </c>
      <c r="O66" s="935">
        <f>+SUMIF('13.mell_ÖNKfeladatok2019'!$B$166:$B$319,'14.mell_Önk kiegészítés2019'!$A66,'13.mell_ÖNKfeladatok2019'!M$166:M$319)</f>
        <v>0</v>
      </c>
      <c r="P66" s="935">
        <f>+SUMIF('13.mell_ÖNKfeladatok2019'!$B$166:$B$319,'14.mell_Önk kiegészítés2019'!$A66,'13.mell_ÖNKfeladatok2019'!O$166:O$319)</f>
        <v>0</v>
      </c>
      <c r="Q66" s="935">
        <f>+SUMIF('13.mell_ÖNKfeladatok2019'!$B$166:$B$319,'14.mell_Önk kiegészítés2019'!$A66,'13.mell_ÖNKfeladatok2019'!P$166:P$319)</f>
        <v>0</v>
      </c>
      <c r="R66" s="935">
        <f>+SUMIF('13.mell_ÖNKfeladatok2019'!$B$166:$B$319,'14.mell_Önk kiegészítés2019'!$A66,'13.mell_ÖNKfeladatok2019'!Q$166:Q$319)</f>
        <v>0</v>
      </c>
      <c r="S66" s="936">
        <f>SUM(K66:R66)</f>
        <v>0</v>
      </c>
      <c r="T66" s="609">
        <f>S66-J66</f>
        <v>0</v>
      </c>
      <c r="U66" s="1363">
        <f>+ROUND(SUMIF('10.mell_támogatások2019'!$B$6:$B$136,'14.mell_Önk kiegészítés2019'!$A66,'10.mell_támogatások2019'!D$6:D$136)/1000,0)</f>
        <v>0</v>
      </c>
      <c r="V66" s="612">
        <f>+T66-U66</f>
        <v>0</v>
      </c>
    </row>
    <row r="67" spans="1:41" s="593" customFormat="1" ht="24.75" thickBot="1">
      <c r="A67" s="552" t="s">
        <v>1165</v>
      </c>
      <c r="B67" s="553" t="s">
        <v>1117</v>
      </c>
      <c r="C67" s="609">
        <f t="shared" ref="C67:V67" si="26">SUM(C66)</f>
        <v>0</v>
      </c>
      <c r="D67" s="609">
        <f t="shared" si="26"/>
        <v>0</v>
      </c>
      <c r="E67" s="609">
        <f t="shared" si="26"/>
        <v>0</v>
      </c>
      <c r="F67" s="609">
        <f t="shared" si="26"/>
        <v>0</v>
      </c>
      <c r="G67" s="609">
        <f t="shared" si="26"/>
        <v>0</v>
      </c>
      <c r="H67" s="609">
        <f t="shared" si="26"/>
        <v>0</v>
      </c>
      <c r="I67" s="609">
        <f t="shared" si="26"/>
        <v>0</v>
      </c>
      <c r="J67" s="612">
        <f t="shared" si="26"/>
        <v>0</v>
      </c>
      <c r="K67" s="609">
        <f t="shared" si="26"/>
        <v>0</v>
      </c>
      <c r="L67" s="609">
        <f t="shared" si="26"/>
        <v>0</v>
      </c>
      <c r="M67" s="609">
        <f t="shared" si="26"/>
        <v>0</v>
      </c>
      <c r="N67" s="609">
        <f t="shared" si="26"/>
        <v>0</v>
      </c>
      <c r="O67" s="609">
        <f t="shared" si="26"/>
        <v>0</v>
      </c>
      <c r="P67" s="609">
        <f t="shared" si="26"/>
        <v>0</v>
      </c>
      <c r="Q67" s="609">
        <f t="shared" si="26"/>
        <v>0</v>
      </c>
      <c r="R67" s="609">
        <f t="shared" si="26"/>
        <v>0</v>
      </c>
      <c r="S67" s="612">
        <f t="shared" si="26"/>
        <v>0</v>
      </c>
      <c r="T67" s="609">
        <f t="shared" si="26"/>
        <v>0</v>
      </c>
      <c r="U67" s="613">
        <f t="shared" si="26"/>
        <v>0</v>
      </c>
      <c r="V67" s="612">
        <f t="shared" si="26"/>
        <v>0</v>
      </c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</row>
    <row r="68" spans="1:41" s="593" customFormat="1" ht="12.75" thickBot="1">
      <c r="A68" s="540" t="s">
        <v>42</v>
      </c>
      <c r="B68" s="557" t="s">
        <v>1118</v>
      </c>
      <c r="C68" s="618">
        <f t="shared" ref="C68:V68" si="27">+C63+C65+C67</f>
        <v>0</v>
      </c>
      <c r="D68" s="618">
        <f t="shared" si="27"/>
        <v>0</v>
      </c>
      <c r="E68" s="618">
        <f t="shared" si="27"/>
        <v>0</v>
      </c>
      <c r="F68" s="618">
        <f t="shared" si="27"/>
        <v>0</v>
      </c>
      <c r="G68" s="618">
        <f t="shared" si="27"/>
        <v>0</v>
      </c>
      <c r="H68" s="618">
        <f t="shared" si="27"/>
        <v>0</v>
      </c>
      <c r="I68" s="618">
        <f t="shared" si="27"/>
        <v>0</v>
      </c>
      <c r="J68" s="621">
        <f t="shared" si="27"/>
        <v>0</v>
      </c>
      <c r="K68" s="618">
        <f t="shared" si="27"/>
        <v>54370</v>
      </c>
      <c r="L68" s="618">
        <f t="shared" si="27"/>
        <v>10571</v>
      </c>
      <c r="M68" s="618">
        <f t="shared" si="27"/>
        <v>8920</v>
      </c>
      <c r="N68" s="618">
        <f t="shared" si="27"/>
        <v>0</v>
      </c>
      <c r="O68" s="618">
        <f t="shared" si="27"/>
        <v>0</v>
      </c>
      <c r="P68" s="618">
        <f t="shared" si="27"/>
        <v>0</v>
      </c>
      <c r="Q68" s="618">
        <f t="shared" si="27"/>
        <v>0</v>
      </c>
      <c r="R68" s="618">
        <f t="shared" si="27"/>
        <v>0</v>
      </c>
      <c r="S68" s="621">
        <f t="shared" si="27"/>
        <v>73861</v>
      </c>
      <c r="T68" s="618">
        <f t="shared" si="27"/>
        <v>73861</v>
      </c>
      <c r="U68" s="620">
        <f t="shared" si="27"/>
        <v>73861</v>
      </c>
      <c r="V68" s="621">
        <f t="shared" si="27"/>
        <v>0</v>
      </c>
      <c r="X68" s="593">
        <f>+'13.mell_ÖNKfeladatok2019'!G156-J68</f>
        <v>0</v>
      </c>
      <c r="Y68" s="593">
        <f>+'13.mell_ÖNKfeladatok2019'!G317-S68</f>
        <v>0</v>
      </c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</row>
    <row r="69" spans="1:41" s="185" customFormat="1" ht="12.75" thickBot="1">
      <c r="A69" s="578"/>
      <c r="B69" s="633"/>
      <c r="C69" s="622"/>
      <c r="D69" s="623"/>
      <c r="E69" s="623"/>
      <c r="F69" s="623"/>
      <c r="G69" s="623"/>
      <c r="H69" s="623"/>
      <c r="I69" s="624"/>
      <c r="J69" s="625"/>
      <c r="K69" s="634"/>
      <c r="L69" s="634"/>
      <c r="M69" s="634"/>
      <c r="N69" s="634"/>
      <c r="O69" s="634"/>
      <c r="P69" s="634"/>
      <c r="Q69" s="634"/>
      <c r="R69" s="634"/>
      <c r="S69" s="632"/>
      <c r="T69" s="629"/>
      <c r="U69" s="1365"/>
      <c r="V69" s="632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</row>
    <row r="70" spans="1:41" s="593" customFormat="1" ht="12.75" thickBot="1">
      <c r="A70" s="616" t="s">
        <v>41</v>
      </c>
      <c r="B70" s="617" t="s">
        <v>778</v>
      </c>
      <c r="C70" s="618">
        <f t="shared" ref="C70:V70" si="28">+C20+C32+C42+C52+C60+C68</f>
        <v>962806</v>
      </c>
      <c r="D70" s="618">
        <f t="shared" si="28"/>
        <v>384050</v>
      </c>
      <c r="E70" s="618">
        <f t="shared" si="28"/>
        <v>132543</v>
      </c>
      <c r="F70" s="618">
        <f t="shared" si="28"/>
        <v>5800</v>
      </c>
      <c r="G70" s="618">
        <f t="shared" si="28"/>
        <v>377399</v>
      </c>
      <c r="H70" s="618">
        <f t="shared" si="28"/>
        <v>10350</v>
      </c>
      <c r="I70" s="618">
        <f t="shared" si="28"/>
        <v>1500</v>
      </c>
      <c r="J70" s="621">
        <f t="shared" si="28"/>
        <v>1874448</v>
      </c>
      <c r="K70" s="635">
        <f t="shared" si="28"/>
        <v>655870</v>
      </c>
      <c r="L70" s="635">
        <f t="shared" si="28"/>
        <v>131505</v>
      </c>
      <c r="M70" s="635">
        <f t="shared" si="28"/>
        <v>391454</v>
      </c>
      <c r="N70" s="635">
        <f t="shared" si="28"/>
        <v>57543</v>
      </c>
      <c r="O70" s="635">
        <f t="shared" si="28"/>
        <v>2874202</v>
      </c>
      <c r="P70" s="635">
        <f t="shared" si="28"/>
        <v>466298</v>
      </c>
      <c r="Q70" s="635">
        <f t="shared" si="28"/>
        <v>19676</v>
      </c>
      <c r="R70" s="635">
        <f t="shared" si="28"/>
        <v>0</v>
      </c>
      <c r="S70" s="636">
        <f t="shared" si="28"/>
        <v>4596548</v>
      </c>
      <c r="T70" s="635">
        <f t="shared" si="28"/>
        <v>2722100</v>
      </c>
      <c r="U70" s="1366">
        <f t="shared" si="28"/>
        <v>0</v>
      </c>
      <c r="V70" s="636">
        <f t="shared" si="28"/>
        <v>2722100</v>
      </c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</row>
    <row r="71" spans="1:41" s="593" customFormat="1" ht="12.75" thickBot="1">
      <c r="A71" s="646" t="s">
        <v>37</v>
      </c>
      <c r="B71" s="638" t="s">
        <v>779</v>
      </c>
      <c r="C71" s="639"/>
      <c r="D71" s="639"/>
      <c r="E71" s="639"/>
      <c r="F71" s="639">
        <f>+'1.mell._Össz_Mérleg2019'!$C$71</f>
        <v>2738772</v>
      </c>
      <c r="G71" s="639"/>
      <c r="H71" s="639"/>
      <c r="I71" s="639">
        <f>+'1.mell._Össz_Mérleg2019'!$C$86</f>
        <v>9999</v>
      </c>
      <c r="J71" s="645">
        <f>SUM(C71:I71)</f>
        <v>2748771</v>
      </c>
      <c r="K71" s="639"/>
      <c r="L71" s="639"/>
      <c r="M71" s="639"/>
      <c r="N71" s="639"/>
      <c r="O71" s="639">
        <f>+'1.mell._Össz_Mérleg2019'!$C$177</f>
        <v>26671</v>
      </c>
      <c r="P71" s="639"/>
      <c r="Q71" s="639"/>
      <c r="R71" s="639">
        <f>+'1.mell._Össz_Mérleg2019'!$C$192</f>
        <v>0</v>
      </c>
      <c r="S71" s="645">
        <f>SUM(K71:R71)</f>
        <v>26671</v>
      </c>
      <c r="T71" s="639">
        <f>S71-J71</f>
        <v>-2722100</v>
      </c>
      <c r="U71" s="1367"/>
      <c r="V71" s="640">
        <f>+T71-U71</f>
        <v>-2722100</v>
      </c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</row>
    <row r="72" spans="1:41" s="185" customFormat="1" ht="12.75" thickBot="1">
      <c r="A72" s="616" t="s">
        <v>1169</v>
      </c>
      <c r="B72" s="617" t="s">
        <v>780</v>
      </c>
      <c r="C72" s="618">
        <f>+C70+C71</f>
        <v>962806</v>
      </c>
      <c r="D72" s="618">
        <f t="shared" ref="D72:I72" si="29">+D70+D71</f>
        <v>384050</v>
      </c>
      <c r="E72" s="618">
        <f t="shared" si="29"/>
        <v>132543</v>
      </c>
      <c r="F72" s="618">
        <f t="shared" si="29"/>
        <v>2744572</v>
      </c>
      <c r="G72" s="618">
        <f t="shared" si="29"/>
        <v>377399</v>
      </c>
      <c r="H72" s="618">
        <f t="shared" si="29"/>
        <v>10350</v>
      </c>
      <c r="I72" s="618">
        <f t="shared" si="29"/>
        <v>11499</v>
      </c>
      <c r="J72" s="621">
        <f>+J70+J71</f>
        <v>4623219</v>
      </c>
      <c r="K72" s="618">
        <f t="shared" ref="K72:V72" si="30">+K70+K71</f>
        <v>655870</v>
      </c>
      <c r="L72" s="618">
        <f t="shared" si="30"/>
        <v>131505</v>
      </c>
      <c r="M72" s="618">
        <f t="shared" si="30"/>
        <v>391454</v>
      </c>
      <c r="N72" s="618">
        <f t="shared" si="30"/>
        <v>57543</v>
      </c>
      <c r="O72" s="618">
        <f t="shared" si="30"/>
        <v>2900873</v>
      </c>
      <c r="P72" s="618">
        <f t="shared" si="30"/>
        <v>466298</v>
      </c>
      <c r="Q72" s="618">
        <f t="shared" si="30"/>
        <v>19676</v>
      </c>
      <c r="R72" s="618">
        <f t="shared" si="30"/>
        <v>0</v>
      </c>
      <c r="S72" s="621">
        <f t="shared" si="30"/>
        <v>4623219</v>
      </c>
      <c r="T72" s="618">
        <f t="shared" si="30"/>
        <v>0</v>
      </c>
      <c r="U72" s="620">
        <f t="shared" si="30"/>
        <v>0</v>
      </c>
      <c r="V72" s="621">
        <f t="shared" si="30"/>
        <v>0</v>
      </c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</row>
    <row r="73" spans="1:41" s="593" customFormat="1">
      <c r="A73" s="647"/>
      <c r="B73" s="637"/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7"/>
      <c r="V73" s="63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</row>
    <row r="74" spans="1:41" hidden="1">
      <c r="J74" s="593">
        <f>+'1.mell._Össz_Mérleg2019'!C102</f>
        <v>4623219</v>
      </c>
      <c r="S74" s="593">
        <f>+'1.mell._Össz_Mérleg2019'!C208</f>
        <v>4623219</v>
      </c>
    </row>
    <row r="75" spans="1:41" hidden="1">
      <c r="J75" s="593">
        <f>+J72-J74</f>
        <v>0</v>
      </c>
      <c r="S75" s="593">
        <f>+S72-S74</f>
        <v>0</v>
      </c>
      <c r="U75" s="1368"/>
    </row>
  </sheetData>
  <mergeCells count="1">
    <mergeCell ref="B3:V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5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8">
    <tabColor rgb="FF00B0F0"/>
    <pageSetUpPr fitToPage="1"/>
  </sheetPr>
  <dimension ref="A1:H29"/>
  <sheetViews>
    <sheetView zoomScaleNormal="100" workbookViewId="0"/>
  </sheetViews>
  <sheetFormatPr defaultRowHeight="12.75"/>
  <cols>
    <col min="1" max="1" width="4.7109375" style="660" customWidth="1"/>
    <col min="2" max="2" width="28.42578125" style="660" customWidth="1"/>
    <col min="3" max="8" width="10.140625" style="660" customWidth="1"/>
    <col min="9" max="16384" width="9.140625" style="660"/>
  </cols>
  <sheetData>
    <row r="1" spans="1:8" ht="15.75">
      <c r="A1" s="658"/>
      <c r="B1" s="659"/>
      <c r="C1" s="659"/>
      <c r="D1" s="659"/>
      <c r="E1" s="659"/>
      <c r="F1" s="659"/>
      <c r="G1" s="659"/>
      <c r="H1" s="179" t="s">
        <v>790</v>
      </c>
    </row>
    <row r="2" spans="1:8" ht="15.75">
      <c r="A2" s="658"/>
      <c r="B2" s="659"/>
      <c r="C2" s="659"/>
      <c r="D2" s="659"/>
      <c r="E2" s="659"/>
      <c r="F2" s="659"/>
      <c r="G2" s="659"/>
      <c r="H2" s="659"/>
    </row>
    <row r="3" spans="1:8" ht="15.75">
      <c r="A3" s="1518" t="s">
        <v>791</v>
      </c>
      <c r="B3" s="1518"/>
      <c r="C3" s="1518"/>
      <c r="D3" s="1518"/>
      <c r="E3" s="1518"/>
      <c r="F3" s="1518"/>
      <c r="G3" s="1518"/>
      <c r="H3" s="1518"/>
    </row>
    <row r="4" spans="1:8" ht="15.75">
      <c r="A4" s="1518"/>
      <c r="B4" s="1518"/>
      <c r="C4" s="1518"/>
      <c r="D4" s="1518"/>
      <c r="E4" s="1518"/>
      <c r="F4" s="1518"/>
      <c r="G4" s="1518"/>
      <c r="H4" s="1518"/>
    </row>
    <row r="6" spans="1:8" s="658" customFormat="1" ht="27" customHeight="1">
      <c r="A6" s="661" t="s">
        <v>792</v>
      </c>
      <c r="B6" s="662"/>
      <c r="C6" s="1519" t="s">
        <v>793</v>
      </c>
      <c r="D6" s="1519"/>
      <c r="E6" s="1519"/>
      <c r="F6" s="1519"/>
      <c r="G6" s="1519"/>
      <c r="H6" s="1519"/>
    </row>
    <row r="7" spans="1:8" s="658" customFormat="1" ht="15.75"/>
    <row r="8" spans="1:8" s="658" customFormat="1" ht="24.75" customHeight="1">
      <c r="A8" s="661" t="s">
        <v>794</v>
      </c>
      <c r="B8" s="662"/>
      <c r="C8" s="1519" t="s">
        <v>793</v>
      </c>
      <c r="D8" s="1519"/>
      <c r="E8" s="1519"/>
      <c r="F8" s="1519"/>
      <c r="G8" s="1519"/>
      <c r="H8" s="662"/>
    </row>
    <row r="9" spans="1:8" s="663" customFormat="1"/>
    <row r="10" spans="1:8" s="665" customFormat="1" ht="15" customHeight="1">
      <c r="A10" s="664" t="s">
        <v>795</v>
      </c>
    </row>
    <row r="11" spans="1:8" s="665" customFormat="1" ht="15" customHeight="1" thickBot="1">
      <c r="A11" s="664" t="s">
        <v>796</v>
      </c>
    </row>
    <row r="12" spans="1:8" s="669" customFormat="1" ht="42" customHeight="1" thickBot="1">
      <c r="A12" s="666" t="s">
        <v>17</v>
      </c>
      <c r="B12" s="667" t="s">
        <v>797</v>
      </c>
      <c r="C12" s="667" t="s">
        <v>798</v>
      </c>
      <c r="D12" s="667" t="s">
        <v>799</v>
      </c>
      <c r="E12" s="667" t="s">
        <v>800</v>
      </c>
      <c r="F12" s="667" t="s">
        <v>801</v>
      </c>
      <c r="G12" s="667" t="s">
        <v>802</v>
      </c>
      <c r="H12" s="668" t="s">
        <v>441</v>
      </c>
    </row>
    <row r="13" spans="1:8" ht="24" customHeight="1">
      <c r="A13" s="670" t="s">
        <v>4</v>
      </c>
      <c r="B13" s="671" t="s">
        <v>803</v>
      </c>
      <c r="C13" s="672"/>
      <c r="D13" s="672"/>
      <c r="E13" s="672"/>
      <c r="F13" s="672"/>
      <c r="G13" s="672"/>
      <c r="H13" s="673">
        <f>SUM(C13:G13)</f>
        <v>0</v>
      </c>
    </row>
    <row r="14" spans="1:8" ht="24" customHeight="1">
      <c r="A14" s="674" t="s">
        <v>5</v>
      </c>
      <c r="B14" s="675" t="s">
        <v>804</v>
      </c>
      <c r="C14" s="676"/>
      <c r="D14" s="676"/>
      <c r="E14" s="676"/>
      <c r="F14" s="676"/>
      <c r="G14" s="676"/>
      <c r="H14" s="677">
        <f t="shared" ref="H14:H19" si="0">SUM(C14:G14)</f>
        <v>0</v>
      </c>
    </row>
    <row r="15" spans="1:8" ht="24" customHeight="1">
      <c r="A15" s="674" t="s">
        <v>6</v>
      </c>
      <c r="B15" s="675" t="s">
        <v>805</v>
      </c>
      <c r="C15" s="676"/>
      <c r="D15" s="676"/>
      <c r="E15" s="676"/>
      <c r="F15" s="676"/>
      <c r="G15" s="676"/>
      <c r="H15" s="677">
        <f t="shared" si="0"/>
        <v>0</v>
      </c>
    </row>
    <row r="16" spans="1:8" ht="24" customHeight="1">
      <c r="A16" s="674" t="s">
        <v>3</v>
      </c>
      <c r="B16" s="675" t="s">
        <v>806</v>
      </c>
      <c r="C16" s="676"/>
      <c r="D16" s="676"/>
      <c r="E16" s="676"/>
      <c r="F16" s="676"/>
      <c r="G16" s="676"/>
      <c r="H16" s="677">
        <f t="shared" si="0"/>
        <v>0</v>
      </c>
    </row>
    <row r="17" spans="1:8" ht="24" customHeight="1">
      <c r="A17" s="674" t="s">
        <v>16</v>
      </c>
      <c r="B17" s="675" t="s">
        <v>807</v>
      </c>
      <c r="C17" s="676"/>
      <c r="D17" s="676"/>
      <c r="E17" s="676"/>
      <c r="F17" s="676"/>
      <c r="G17" s="676"/>
      <c r="H17" s="677">
        <f t="shared" si="0"/>
        <v>0</v>
      </c>
    </row>
    <row r="18" spans="1:8" ht="24" customHeight="1" thickBot="1">
      <c r="A18" s="678" t="s">
        <v>15</v>
      </c>
      <c r="B18" s="679" t="s">
        <v>808</v>
      </c>
      <c r="C18" s="680"/>
      <c r="D18" s="680"/>
      <c r="E18" s="680"/>
      <c r="F18" s="680"/>
      <c r="G18" s="680"/>
      <c r="H18" s="681">
        <f t="shared" si="0"/>
        <v>0</v>
      </c>
    </row>
    <row r="19" spans="1:8" s="685" customFormat="1" ht="24" customHeight="1" thickBot="1">
      <c r="A19" s="682" t="s">
        <v>14</v>
      </c>
      <c r="B19" s="377" t="s">
        <v>441</v>
      </c>
      <c r="C19" s="683">
        <f>SUM(C13:C18)</f>
        <v>0</v>
      </c>
      <c r="D19" s="683">
        <f>SUM(D13:D18)</f>
        <v>0</v>
      </c>
      <c r="E19" s="683">
        <f>SUM(E13:E18)</f>
        <v>0</v>
      </c>
      <c r="F19" s="683">
        <f>SUM(F13:F18)</f>
        <v>0</v>
      </c>
      <c r="G19" s="683">
        <f>SUM(G13:G18)</f>
        <v>0</v>
      </c>
      <c r="H19" s="684">
        <f t="shared" si="0"/>
        <v>0</v>
      </c>
    </row>
    <row r="20" spans="1:8" s="663" customFormat="1"/>
    <row r="21" spans="1:8" s="663" customFormat="1"/>
    <row r="22" spans="1:8" s="663" customFormat="1"/>
    <row r="23" spans="1:8" s="663" customFormat="1" ht="15.75">
      <c r="A23" s="658" t="s">
        <v>1348</v>
      </c>
    </row>
    <row r="24" spans="1:8" s="663" customFormat="1"/>
    <row r="26" spans="1:8">
      <c r="C26" s="686"/>
      <c r="D26" s="686"/>
      <c r="E26" s="686"/>
      <c r="F26" s="686"/>
      <c r="G26" s="686"/>
    </row>
    <row r="27" spans="1:8" ht="13.5">
      <c r="C27" s="687"/>
      <c r="D27" s="688" t="s">
        <v>809</v>
      </c>
      <c r="E27" s="688"/>
      <c r="F27" s="688"/>
      <c r="G27" s="687"/>
    </row>
    <row r="28" spans="1:8" ht="13.5">
      <c r="C28" s="689"/>
      <c r="D28" s="690"/>
      <c r="E28" s="690"/>
      <c r="F28" s="690"/>
      <c r="G28" s="689"/>
    </row>
    <row r="29" spans="1:8" ht="13.5">
      <c r="C29" s="689"/>
      <c r="D29" s="690"/>
      <c r="E29" s="690"/>
      <c r="F29" s="690"/>
      <c r="G29" s="689"/>
    </row>
  </sheetData>
  <mergeCells count="4">
    <mergeCell ref="A3:H3"/>
    <mergeCell ref="A4:H4"/>
    <mergeCell ref="C6:H6"/>
    <mergeCell ref="C8:G8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9">
    <tabColor rgb="FF00B0F0"/>
    <pageSetUpPr fitToPage="1"/>
  </sheetPr>
  <dimension ref="A1:M23"/>
  <sheetViews>
    <sheetView zoomScaleNormal="100" workbookViewId="0"/>
  </sheetViews>
  <sheetFormatPr defaultRowHeight="12.75"/>
  <cols>
    <col min="1" max="1" width="16" style="691" bestFit="1" customWidth="1"/>
    <col min="2" max="2" width="35.42578125" style="691" customWidth="1"/>
    <col min="3" max="6" width="14.7109375" style="691" customWidth="1"/>
    <col min="7" max="7" width="9.140625" style="691"/>
    <col min="8" max="13" width="0" style="691" hidden="1" customWidth="1"/>
    <col min="14" max="16384" width="9.140625" style="691"/>
  </cols>
  <sheetData>
    <row r="1" spans="1:13" ht="15.75">
      <c r="F1" s="179" t="s">
        <v>849</v>
      </c>
    </row>
    <row r="3" spans="1:13" ht="28.5" customHeight="1">
      <c r="A3" s="1526" t="s">
        <v>1349</v>
      </c>
      <c r="B3" s="1526"/>
      <c r="C3" s="1526"/>
      <c r="D3" s="1526"/>
      <c r="E3" s="1526"/>
      <c r="F3" s="1526"/>
    </row>
    <row r="4" spans="1:13" ht="14.25">
      <c r="A4" s="1369"/>
      <c r="B4" s="1369"/>
      <c r="C4" s="1369"/>
      <c r="D4" s="1369"/>
      <c r="E4" s="1369"/>
      <c r="F4" s="1369"/>
    </row>
    <row r="5" spans="1:13" ht="12.75" customHeight="1" thickBot="1">
      <c r="A5" s="1370"/>
      <c r="B5" s="1370"/>
      <c r="C5" s="1370"/>
      <c r="D5" s="1370"/>
      <c r="E5" s="1371"/>
      <c r="F5" s="1372" t="s">
        <v>990</v>
      </c>
    </row>
    <row r="6" spans="1:13" ht="14.25">
      <c r="A6" s="1531" t="s">
        <v>810</v>
      </c>
      <c r="B6" s="1532"/>
      <c r="C6" s="1520" t="s">
        <v>811</v>
      </c>
      <c r="D6" s="1521"/>
      <c r="E6" s="1520" t="s">
        <v>828</v>
      </c>
      <c r="F6" s="1521"/>
    </row>
    <row r="7" spans="1:13" ht="15.75" thickBot="1">
      <c r="A7" s="1533"/>
      <c r="B7" s="1534"/>
      <c r="C7" s="774" t="s">
        <v>812</v>
      </c>
      <c r="D7" s="775" t="s">
        <v>813</v>
      </c>
      <c r="E7" s="776">
        <v>1</v>
      </c>
      <c r="F7" s="777">
        <v>0.5</v>
      </c>
    </row>
    <row r="8" spans="1:13" ht="15">
      <c r="A8" s="1522" t="s">
        <v>814</v>
      </c>
      <c r="B8" s="1523"/>
      <c r="C8" s="742">
        <v>27</v>
      </c>
      <c r="D8" s="1373">
        <f>+ROUND(C8*1.27,0)+1</f>
        <v>35</v>
      </c>
      <c r="E8" s="742">
        <f>+D8</f>
        <v>35</v>
      </c>
      <c r="F8" s="1374">
        <f>+ROUND(E8*0.5,0)-1</f>
        <v>17</v>
      </c>
      <c r="I8" s="691">
        <v>27</v>
      </c>
      <c r="J8" s="691">
        <f>34+1</f>
        <v>35</v>
      </c>
      <c r="K8" s="691">
        <f>+I8*1.27</f>
        <v>34.29</v>
      </c>
      <c r="L8" s="691">
        <f>+C8*1.04</f>
        <v>28.080000000000002</v>
      </c>
      <c r="M8" s="691">
        <f>+E8*1.04</f>
        <v>36.4</v>
      </c>
    </row>
    <row r="9" spans="1:13" ht="15">
      <c r="A9" s="1524" t="s">
        <v>815</v>
      </c>
      <c r="B9" s="1525"/>
      <c r="C9" s="743">
        <v>49</v>
      </c>
      <c r="D9" s="750">
        <f>+ROUND(C9*1.27,0)</f>
        <v>62</v>
      </c>
      <c r="E9" s="743">
        <f>+D9</f>
        <v>62</v>
      </c>
      <c r="F9" s="744">
        <f>+ROUND(E9*0.5,0)</f>
        <v>31</v>
      </c>
      <c r="I9" s="691">
        <v>49</v>
      </c>
      <c r="J9" s="691">
        <v>62</v>
      </c>
      <c r="K9" s="691">
        <f>+I9*1.27</f>
        <v>62.230000000000004</v>
      </c>
      <c r="L9" s="691">
        <f t="shared" ref="L9:L19" si="0">+C9*1.04</f>
        <v>50.96</v>
      </c>
      <c r="M9" s="691">
        <f t="shared" ref="M9:M19" si="1">+E9*1.04</f>
        <v>64.48</v>
      </c>
    </row>
    <row r="10" spans="1:13" ht="15">
      <c r="A10" s="1524" t="s">
        <v>816</v>
      </c>
      <c r="B10" s="1525"/>
      <c r="C10" s="743">
        <v>144</v>
      </c>
      <c r="D10" s="750">
        <f>+ROUND(C10*1.27,0)</f>
        <v>183</v>
      </c>
      <c r="E10" s="743">
        <f>+D10</f>
        <v>183</v>
      </c>
      <c r="F10" s="744">
        <f>+ROUND(E10*0.5,0)</f>
        <v>92</v>
      </c>
      <c r="I10" s="691">
        <v>144</v>
      </c>
      <c r="J10" s="691">
        <v>183</v>
      </c>
      <c r="K10" s="691">
        <f>+I10*1.27</f>
        <v>182.88</v>
      </c>
      <c r="L10" s="691">
        <f t="shared" si="0"/>
        <v>149.76</v>
      </c>
      <c r="M10" s="691">
        <f t="shared" si="1"/>
        <v>190.32</v>
      </c>
    </row>
    <row r="11" spans="1:13" ht="15.75" thickBot="1">
      <c r="A11" s="1524" t="s">
        <v>817</v>
      </c>
      <c r="B11" s="1525"/>
      <c r="C11" s="743">
        <v>49</v>
      </c>
      <c r="D11" s="778">
        <f>+ROUND(C11*1.27,0)</f>
        <v>62</v>
      </c>
      <c r="E11" s="743">
        <f>+D11</f>
        <v>62</v>
      </c>
      <c r="F11" s="744">
        <f>+ROUND(E11*0.5,0)</f>
        <v>31</v>
      </c>
      <c r="I11" s="691">
        <v>49</v>
      </c>
      <c r="J11" s="691">
        <v>62</v>
      </c>
      <c r="K11" s="691">
        <f>+I11*1.27</f>
        <v>62.230000000000004</v>
      </c>
      <c r="L11" s="691">
        <f t="shared" si="0"/>
        <v>50.96</v>
      </c>
      <c r="M11" s="691">
        <f t="shared" si="1"/>
        <v>64.48</v>
      </c>
    </row>
    <row r="12" spans="1:13" ht="15" thickBot="1">
      <c r="A12" s="1535" t="s">
        <v>827</v>
      </c>
      <c r="B12" s="1536"/>
      <c r="C12" s="745">
        <f>SUM(C8:C11)</f>
        <v>269</v>
      </c>
      <c r="D12" s="746">
        <f>SUM(D8:D11)</f>
        <v>342</v>
      </c>
      <c r="E12" s="745">
        <f>SUM(E8:E11)</f>
        <v>342</v>
      </c>
      <c r="F12" s="746">
        <f>SUM(F8:F11)</f>
        <v>171</v>
      </c>
      <c r="I12" s="691">
        <f>SUM(I8:I11)</f>
        <v>269</v>
      </c>
      <c r="J12" s="691">
        <f>SUM(J8:J11)</f>
        <v>342</v>
      </c>
      <c r="K12" s="691">
        <f>+I12*1.27</f>
        <v>341.63</v>
      </c>
      <c r="L12" s="691">
        <f t="shared" si="0"/>
        <v>279.76</v>
      </c>
      <c r="M12" s="691">
        <f t="shared" si="1"/>
        <v>355.68</v>
      </c>
    </row>
    <row r="13" spans="1:13" ht="15">
      <c r="A13" s="1524" t="s">
        <v>815</v>
      </c>
      <c r="B13" s="1525"/>
      <c r="C13" s="747">
        <v>49</v>
      </c>
      <c r="D13" s="748">
        <f>+ROUND(C13*1.27,0)</f>
        <v>62</v>
      </c>
      <c r="E13" s="747">
        <f>+D13</f>
        <v>62</v>
      </c>
      <c r="F13" s="748">
        <f>+ROUND(E13*0.5,0)</f>
        <v>31</v>
      </c>
      <c r="I13" s="691">
        <v>49</v>
      </c>
      <c r="J13" s="691">
        <v>62</v>
      </c>
      <c r="K13" s="691">
        <f t="shared" ref="K13:K19" si="2">+I13*1.27</f>
        <v>62.230000000000004</v>
      </c>
      <c r="L13" s="691">
        <f t="shared" si="0"/>
        <v>50.96</v>
      </c>
      <c r="M13" s="691">
        <f t="shared" si="1"/>
        <v>64.48</v>
      </c>
    </row>
    <row r="14" spans="1:13" ht="15">
      <c r="A14" s="1524" t="s">
        <v>816</v>
      </c>
      <c r="B14" s="1525"/>
      <c r="C14" s="749">
        <v>144</v>
      </c>
      <c r="D14" s="750">
        <f>+ROUND(C14*1.27,0)</f>
        <v>183</v>
      </c>
      <c r="E14" s="749">
        <f>+D14</f>
        <v>183</v>
      </c>
      <c r="F14" s="750">
        <f>+ROUND(E14*0.5,0)</f>
        <v>92</v>
      </c>
      <c r="I14" s="691">
        <v>144</v>
      </c>
      <c r="J14" s="691">
        <v>183</v>
      </c>
      <c r="K14" s="691">
        <f t="shared" si="2"/>
        <v>182.88</v>
      </c>
      <c r="L14" s="691">
        <f t="shared" si="0"/>
        <v>149.76</v>
      </c>
      <c r="M14" s="691">
        <f t="shared" si="1"/>
        <v>190.32</v>
      </c>
    </row>
    <row r="15" spans="1:13" ht="15.75" thickBot="1">
      <c r="A15" s="1524" t="s">
        <v>817</v>
      </c>
      <c r="B15" s="1525"/>
      <c r="C15" s="743">
        <v>49</v>
      </c>
      <c r="D15" s="751">
        <f>+ROUND(C15*1.27,0)</f>
        <v>62</v>
      </c>
      <c r="E15" s="743">
        <f>+D15</f>
        <v>62</v>
      </c>
      <c r="F15" s="751">
        <f>+ROUND(E15*0.5,0)</f>
        <v>31</v>
      </c>
      <c r="I15" s="691">
        <v>49</v>
      </c>
      <c r="J15" s="691">
        <v>62</v>
      </c>
      <c r="K15" s="691">
        <f t="shared" si="2"/>
        <v>62.230000000000004</v>
      </c>
      <c r="L15" s="691">
        <f t="shared" si="0"/>
        <v>50.96</v>
      </c>
      <c r="M15" s="691">
        <f t="shared" si="1"/>
        <v>64.48</v>
      </c>
    </row>
    <row r="16" spans="1:13" ht="15.75" thickBot="1">
      <c r="A16" s="1539" t="s">
        <v>826</v>
      </c>
      <c r="B16" s="1540"/>
      <c r="C16" s="745">
        <f>SUM(C13:C15)</f>
        <v>242</v>
      </c>
      <c r="D16" s="746">
        <f>SUM(D13:D15)</f>
        <v>307</v>
      </c>
      <c r="E16" s="745">
        <f>SUM(E13:E15)</f>
        <v>307</v>
      </c>
      <c r="F16" s="746">
        <f>SUM(F13:F15)</f>
        <v>154</v>
      </c>
      <c r="I16" s="691">
        <f>SUM(I13:I15)</f>
        <v>242</v>
      </c>
      <c r="J16" s="691">
        <f>SUM(J13:J15)</f>
        <v>307</v>
      </c>
      <c r="K16" s="691">
        <f>SUM(K13:K15)</f>
        <v>307.34000000000003</v>
      </c>
      <c r="L16" s="691">
        <f t="shared" si="0"/>
        <v>251.68</v>
      </c>
      <c r="M16" s="691">
        <f t="shared" si="1"/>
        <v>319.28000000000003</v>
      </c>
    </row>
    <row r="17" spans="1:13" ht="15">
      <c r="A17" s="1541" t="s">
        <v>815</v>
      </c>
      <c r="B17" s="1542"/>
      <c r="C17" s="749">
        <v>56</v>
      </c>
      <c r="D17" s="750">
        <f>+ROUND(C17*1.27,0)</f>
        <v>71</v>
      </c>
      <c r="E17" s="749">
        <f>+D17</f>
        <v>71</v>
      </c>
      <c r="F17" s="750">
        <f>+ROUND(E17*0.5,0)-1</f>
        <v>35</v>
      </c>
      <c r="I17" s="691">
        <v>56</v>
      </c>
      <c r="J17" s="691">
        <v>71</v>
      </c>
      <c r="K17" s="691">
        <f t="shared" si="2"/>
        <v>71.12</v>
      </c>
      <c r="L17" s="691">
        <f t="shared" si="0"/>
        <v>58.24</v>
      </c>
      <c r="M17" s="691">
        <f t="shared" si="1"/>
        <v>73.84</v>
      </c>
    </row>
    <row r="18" spans="1:13" ht="15">
      <c r="A18" s="1541" t="s">
        <v>816</v>
      </c>
      <c r="B18" s="1542"/>
      <c r="C18" s="749">
        <v>168</v>
      </c>
      <c r="D18" s="750">
        <f>+ROUND(C18*1.27,0)</f>
        <v>213</v>
      </c>
      <c r="E18" s="749">
        <f>+D18</f>
        <v>213</v>
      </c>
      <c r="F18" s="750">
        <f>+ROUND(E18*0.5,0)</f>
        <v>107</v>
      </c>
      <c r="I18" s="691">
        <v>168</v>
      </c>
      <c r="J18" s="691">
        <f>214-1</f>
        <v>213</v>
      </c>
      <c r="K18" s="691">
        <f t="shared" si="2"/>
        <v>213.36</v>
      </c>
      <c r="L18" s="691">
        <f t="shared" si="0"/>
        <v>174.72</v>
      </c>
      <c r="M18" s="691">
        <f t="shared" si="1"/>
        <v>221.52</v>
      </c>
    </row>
    <row r="19" spans="1:13" ht="15.75" thickBot="1">
      <c r="A19" s="1543" t="s">
        <v>817</v>
      </c>
      <c r="B19" s="1544"/>
      <c r="C19" s="752">
        <v>56</v>
      </c>
      <c r="D19" s="753">
        <f>+ROUND(C19*1.27,0)+1</f>
        <v>72</v>
      </c>
      <c r="E19" s="752">
        <f>+D19</f>
        <v>72</v>
      </c>
      <c r="F19" s="753">
        <f>+ROUND(E19*0.5,0)</f>
        <v>36</v>
      </c>
      <c r="I19" s="691">
        <v>56</v>
      </c>
      <c r="J19" s="691">
        <f>71+1</f>
        <v>72</v>
      </c>
      <c r="K19" s="691">
        <f t="shared" si="2"/>
        <v>71.12</v>
      </c>
      <c r="L19" s="691">
        <f t="shared" si="0"/>
        <v>58.24</v>
      </c>
      <c r="M19" s="691">
        <f t="shared" si="1"/>
        <v>74.88</v>
      </c>
    </row>
    <row r="20" spans="1:13" ht="15" thickBot="1">
      <c r="A20" s="1535" t="s">
        <v>825</v>
      </c>
      <c r="B20" s="1536"/>
      <c r="C20" s="745">
        <f>SUM(C17:C19)</f>
        <v>280</v>
      </c>
      <c r="D20" s="746">
        <f>SUM(D17:D19)</f>
        <v>356</v>
      </c>
      <c r="E20" s="745">
        <f>SUM(E17:E19)</f>
        <v>356</v>
      </c>
      <c r="F20" s="746">
        <f>SUM(F17:F19)</f>
        <v>178</v>
      </c>
      <c r="I20" s="691">
        <f>SUM(I17:I19)</f>
        <v>280</v>
      </c>
      <c r="J20" s="691">
        <f>SUM(J17:J19)</f>
        <v>356</v>
      </c>
      <c r="K20" s="691">
        <f>SUM(K17:K19)</f>
        <v>355.6</v>
      </c>
      <c r="L20" s="691">
        <f>+C20*1.04</f>
        <v>291.2</v>
      </c>
      <c r="M20" s="691">
        <f>+E20*1.04</f>
        <v>370.24</v>
      </c>
    </row>
    <row r="21" spans="1:13" ht="15" customHeight="1" thickBot="1">
      <c r="A21" s="1529" t="s">
        <v>1179</v>
      </c>
      <c r="B21" s="1530"/>
      <c r="C21" s="745">
        <v>309</v>
      </c>
      <c r="D21" s="746">
        <f>+ROUND(C21*1.27,0)</f>
        <v>392</v>
      </c>
      <c r="E21" s="745">
        <v>604</v>
      </c>
      <c r="F21" s="950" t="s">
        <v>19</v>
      </c>
    </row>
    <row r="22" spans="1:13" ht="15" thickBot="1">
      <c r="A22" s="1527"/>
      <c r="B22" s="1528"/>
      <c r="C22" s="745"/>
      <c r="D22" s="746"/>
      <c r="E22" s="745"/>
      <c r="F22" s="746"/>
    </row>
    <row r="23" spans="1:13" ht="15" customHeight="1" thickBot="1">
      <c r="A23" s="1537" t="s">
        <v>818</v>
      </c>
      <c r="B23" s="1538"/>
      <c r="C23" s="754">
        <v>329</v>
      </c>
      <c r="D23" s="779">
        <f>+ROUND(C23*1.27,0)</f>
        <v>418</v>
      </c>
      <c r="E23" s="754">
        <v>800</v>
      </c>
      <c r="F23" s="950" t="s">
        <v>19</v>
      </c>
    </row>
  </sheetData>
  <mergeCells count="20">
    <mergeCell ref="A23:B23"/>
    <mergeCell ref="A15:B15"/>
    <mergeCell ref="A16:B16"/>
    <mergeCell ref="A17:B17"/>
    <mergeCell ref="A18:B18"/>
    <mergeCell ref="A19:B19"/>
    <mergeCell ref="A20:B20"/>
    <mergeCell ref="A13:B13"/>
    <mergeCell ref="A14:B14"/>
    <mergeCell ref="A22:B22"/>
    <mergeCell ref="A21:B21"/>
    <mergeCell ref="A6:B7"/>
    <mergeCell ref="A10:B10"/>
    <mergeCell ref="A11:B11"/>
    <mergeCell ref="A12:B12"/>
    <mergeCell ref="C6:D6"/>
    <mergeCell ref="E6:F6"/>
    <mergeCell ref="A8:B8"/>
    <mergeCell ref="A9:B9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30">
    <tabColor rgb="FF00B0F0"/>
  </sheetPr>
  <dimension ref="A1:Q134"/>
  <sheetViews>
    <sheetView zoomScaleNormal="100" workbookViewId="0"/>
  </sheetViews>
  <sheetFormatPr defaultRowHeight="12"/>
  <cols>
    <col min="1" max="1" width="6" style="702" customWidth="1"/>
    <col min="2" max="2" width="10.5703125" style="693" customWidth="1"/>
    <col min="3" max="3" width="13.28515625" style="693" customWidth="1"/>
    <col min="4" max="4" width="10.5703125" style="693" customWidth="1"/>
    <col min="5" max="5" width="52.5703125" style="693" customWidth="1"/>
    <col min="6" max="6" width="8.28515625" style="694" customWidth="1"/>
    <col min="7" max="7" width="8.28515625" style="864" customWidth="1"/>
    <col min="8" max="9" width="9.140625" style="694" hidden="1" customWidth="1"/>
    <col min="10" max="12" width="9.140625" style="693" hidden="1" customWidth="1"/>
    <col min="13" max="16" width="0" style="693" hidden="1" customWidth="1"/>
    <col min="17" max="16384" width="9.140625" style="693"/>
  </cols>
  <sheetData>
    <row r="1" spans="1:11" s="698" customFormat="1" ht="15.75">
      <c r="A1" s="699"/>
      <c r="F1" s="692" t="s">
        <v>819</v>
      </c>
      <c r="G1" s="692"/>
      <c r="H1" s="904"/>
      <c r="I1" s="904"/>
    </row>
    <row r="2" spans="1:11" s="698" customFormat="1" ht="15.75">
      <c r="A2" s="699"/>
      <c r="F2" s="692"/>
      <c r="G2" s="692"/>
      <c r="H2" s="904"/>
      <c r="I2" s="904"/>
    </row>
    <row r="3" spans="1:11" s="698" customFormat="1" ht="15.75">
      <c r="A3" s="1547" t="s">
        <v>1411</v>
      </c>
      <c r="B3" s="1547"/>
      <c r="C3" s="1547"/>
      <c r="D3" s="1547"/>
      <c r="E3" s="1547"/>
      <c r="F3" s="1547"/>
      <c r="G3" s="860"/>
      <c r="H3" s="904"/>
      <c r="I3" s="904"/>
    </row>
    <row r="4" spans="1:11" ht="12.75" thickBot="1">
      <c r="A4" s="701"/>
      <c r="B4" s="1013"/>
      <c r="C4" s="1013"/>
      <c r="D4" s="1013"/>
      <c r="E4" s="1013"/>
      <c r="F4" s="695" t="s">
        <v>458</v>
      </c>
      <c r="G4" s="695"/>
    </row>
    <row r="5" spans="1:11" s="697" customFormat="1" ht="12.75" thickBot="1">
      <c r="A5" s="700" t="s">
        <v>4</v>
      </c>
      <c r="B5" s="697" t="s">
        <v>80</v>
      </c>
      <c r="D5" s="805"/>
      <c r="E5" s="805"/>
      <c r="F5" s="807">
        <f>+F7+F26+F31+F34+F37+F46+F51+F59</f>
        <v>138386</v>
      </c>
      <c r="G5" s="808"/>
      <c r="H5" s="905"/>
      <c r="I5" s="905"/>
      <c r="J5" s="693"/>
    </row>
    <row r="6" spans="1:11">
      <c r="A6" s="701"/>
      <c r="B6" s="1013"/>
      <c r="C6" s="1013"/>
      <c r="D6" s="1013"/>
      <c r="E6" s="1013"/>
      <c r="F6" s="696"/>
      <c r="G6" s="861"/>
    </row>
    <row r="7" spans="1:11" s="697" customFormat="1">
      <c r="A7" s="804" t="s">
        <v>81</v>
      </c>
      <c r="B7" s="756" t="s">
        <v>822</v>
      </c>
      <c r="C7" s="805"/>
      <c r="D7" s="805"/>
      <c r="E7" s="805"/>
      <c r="F7" s="755">
        <f>+F10+F12+F14+F16+F18+F20+F22+F24</f>
        <v>29200</v>
      </c>
      <c r="G7" s="808"/>
      <c r="H7" s="905"/>
      <c r="I7" s="905"/>
      <c r="J7" s="693"/>
    </row>
    <row r="8" spans="1:11" ht="24.75" customHeight="1">
      <c r="A8" s="701"/>
      <c r="B8" s="1549" t="s">
        <v>1412</v>
      </c>
      <c r="C8" s="1549"/>
      <c r="D8" s="1549"/>
      <c r="E8" s="1549"/>
      <c r="F8" s="696"/>
      <c r="G8" s="861"/>
    </row>
    <row r="9" spans="1:11">
      <c r="A9" s="701"/>
      <c r="B9" s="1012"/>
      <c r="C9" s="1012"/>
      <c r="D9" s="1012"/>
      <c r="E9" s="1012"/>
      <c r="F9" s="696"/>
      <c r="G9" s="861"/>
    </row>
    <row r="10" spans="1:11" ht="36.75" customHeight="1">
      <c r="A10" s="701"/>
      <c r="B10" s="1548" t="s">
        <v>1444</v>
      </c>
      <c r="C10" s="1548"/>
      <c r="D10" s="1548"/>
      <c r="E10" s="1548"/>
      <c r="F10" s="696">
        <v>7000</v>
      </c>
      <c r="G10" s="861"/>
      <c r="H10" s="694">
        <f>+ROUND(F10/1.27,0)</f>
        <v>5512</v>
      </c>
      <c r="I10" s="694">
        <f>+F10-H10</f>
        <v>1488</v>
      </c>
      <c r="J10" s="693" t="s">
        <v>1062</v>
      </c>
    </row>
    <row r="11" spans="1:11">
      <c r="A11" s="701"/>
      <c r="B11" s="1012"/>
      <c r="C11" s="1012"/>
      <c r="D11" s="1012"/>
      <c r="E11" s="1012"/>
      <c r="F11" s="696"/>
      <c r="G11" s="861"/>
    </row>
    <row r="12" spans="1:11" ht="30" customHeight="1">
      <c r="A12" s="701"/>
      <c r="B12" s="1550" t="s">
        <v>1448</v>
      </c>
      <c r="C12" s="1550"/>
      <c r="D12" s="1550"/>
      <c r="E12" s="1550"/>
      <c r="F12" s="861">
        <f>40000-29000</f>
        <v>11000</v>
      </c>
      <c r="G12" s="861"/>
      <c r="H12" s="694">
        <f>+ROUND(F12/1.27,0)</f>
        <v>8661</v>
      </c>
      <c r="I12" s="694">
        <f>+F12-H12</f>
        <v>2339</v>
      </c>
      <c r="J12" s="693" t="s">
        <v>1062</v>
      </c>
      <c r="K12" s="693" t="s">
        <v>1078</v>
      </c>
    </row>
    <row r="13" spans="1:11">
      <c r="A13" s="701"/>
      <c r="B13" s="1014"/>
      <c r="C13" s="1014"/>
      <c r="D13" s="1014"/>
      <c r="E13" s="1014"/>
      <c r="F13" s="696"/>
      <c r="G13" s="861"/>
    </row>
    <row r="14" spans="1:11" ht="25.5" customHeight="1">
      <c r="A14" s="701"/>
      <c r="B14" s="1553" t="s">
        <v>1445</v>
      </c>
      <c r="C14" s="1554"/>
      <c r="D14" s="1554"/>
      <c r="E14" s="1554"/>
      <c r="F14" s="696">
        <v>1000</v>
      </c>
      <c r="G14" s="861"/>
      <c r="H14" s="694">
        <f>+ROUND(F14/1.27,0)</f>
        <v>787</v>
      </c>
      <c r="I14" s="694">
        <f>+F14-H14</f>
        <v>213</v>
      </c>
      <c r="J14" s="693" t="s">
        <v>1062</v>
      </c>
    </row>
    <row r="15" spans="1:11">
      <c r="A15" s="701"/>
      <c r="B15" s="1014"/>
      <c r="C15" s="1014"/>
      <c r="D15" s="1014"/>
      <c r="E15" s="1014"/>
      <c r="F15" s="696"/>
      <c r="G15" s="861"/>
    </row>
    <row r="16" spans="1:11" ht="28.5" customHeight="1">
      <c r="A16" s="701"/>
      <c r="B16" s="1550" t="s">
        <v>1446</v>
      </c>
      <c r="C16" s="1550"/>
      <c r="D16" s="1550"/>
      <c r="E16" s="1550"/>
      <c r="F16" s="696">
        <v>1500</v>
      </c>
      <c r="G16" s="861"/>
      <c r="H16" s="694">
        <f>+ROUND(F16/1.27,0)</f>
        <v>1181</v>
      </c>
      <c r="I16" s="694">
        <f>+F16-H16</f>
        <v>319</v>
      </c>
      <c r="J16" s="693" t="s">
        <v>1062</v>
      </c>
    </row>
    <row r="17" spans="1:17">
      <c r="A17" s="701"/>
      <c r="B17" s="1014"/>
      <c r="C17" s="1014"/>
      <c r="D17" s="1014"/>
      <c r="E17" s="1014"/>
      <c r="F17" s="696"/>
      <c r="G17" s="861"/>
    </row>
    <row r="18" spans="1:17">
      <c r="A18" s="701"/>
      <c r="B18" s="1550" t="s">
        <v>1447</v>
      </c>
      <c r="C18" s="1550"/>
      <c r="D18" s="1550"/>
      <c r="E18" s="1550"/>
      <c r="F18" s="696">
        <v>700</v>
      </c>
      <c r="G18" s="861"/>
      <c r="H18" s="694">
        <f>+ROUND(F18/1.27,0)</f>
        <v>551</v>
      </c>
      <c r="I18" s="694">
        <f>+F18-H18</f>
        <v>149</v>
      </c>
      <c r="J18" s="693" t="s">
        <v>1062</v>
      </c>
    </row>
    <row r="19" spans="1:17">
      <c r="A19" s="701"/>
      <c r="B19" s="1014"/>
      <c r="C19" s="1014"/>
      <c r="D19" s="1014"/>
      <c r="E19" s="1014"/>
      <c r="F19" s="696"/>
      <c r="G19" s="861"/>
    </row>
    <row r="20" spans="1:17">
      <c r="A20" s="701"/>
      <c r="B20" s="1555" t="s">
        <v>1413</v>
      </c>
      <c r="C20" s="1555"/>
      <c r="D20" s="1555"/>
      <c r="E20" s="1555"/>
      <c r="F20" s="696">
        <v>0</v>
      </c>
      <c r="G20" s="861"/>
      <c r="H20" s="694">
        <f>+ROUND(F20/1.27,0)</f>
        <v>0</v>
      </c>
      <c r="I20" s="694">
        <f>+F20-H20</f>
        <v>0</v>
      </c>
      <c r="J20" s="693" t="s">
        <v>1062</v>
      </c>
    </row>
    <row r="21" spans="1:17">
      <c r="A21" s="701"/>
      <c r="B21" s="1014"/>
      <c r="C21" s="1014"/>
      <c r="D21" s="1014"/>
      <c r="E21" s="1014"/>
      <c r="F21" s="696"/>
      <c r="G21" s="861"/>
    </row>
    <row r="22" spans="1:17">
      <c r="A22" s="701"/>
      <c r="B22" s="1553" t="s">
        <v>1414</v>
      </c>
      <c r="C22" s="1554"/>
      <c r="D22" s="1554"/>
      <c r="E22" s="1554"/>
      <c r="F22" s="861">
        <f>2000-1000</f>
        <v>1000</v>
      </c>
      <c r="G22" s="861"/>
      <c r="H22" s="694">
        <f>+ROUND(F22/1.27,0)</f>
        <v>787</v>
      </c>
      <c r="I22" s="694">
        <f>+F22-H22</f>
        <v>213</v>
      </c>
      <c r="J22" s="693" t="s">
        <v>1062</v>
      </c>
    </row>
    <row r="23" spans="1:17" s="697" customFormat="1">
      <c r="A23" s="701"/>
      <c r="B23" s="1014"/>
      <c r="C23" s="1014"/>
      <c r="D23" s="1014"/>
      <c r="E23" s="1014"/>
      <c r="F23" s="696"/>
      <c r="G23" s="861"/>
      <c r="H23" s="694"/>
      <c r="I23" s="694"/>
      <c r="J23" s="693"/>
      <c r="K23" s="693"/>
      <c r="L23" s="693"/>
      <c r="M23" s="693"/>
      <c r="N23" s="693"/>
      <c r="O23" s="693"/>
      <c r="P23" s="693"/>
      <c r="Q23" s="693"/>
    </row>
    <row r="24" spans="1:17">
      <c r="A24" s="701"/>
      <c r="B24" s="1550" t="s">
        <v>1415</v>
      </c>
      <c r="C24" s="1550"/>
      <c r="D24" s="1550"/>
      <c r="E24" s="1550"/>
      <c r="F24" s="696">
        <v>7000</v>
      </c>
      <c r="G24" s="861"/>
      <c r="H24" s="694">
        <f>+ROUND(F24/1.27,0)</f>
        <v>5512</v>
      </c>
      <c r="I24" s="694">
        <f>+F24-H24</f>
        <v>1488</v>
      </c>
      <c r="J24" s="693" t="s">
        <v>1062</v>
      </c>
      <c r="N24" s="693" t="s">
        <v>1416</v>
      </c>
    </row>
    <row r="25" spans="1:17">
      <c r="A25" s="701"/>
      <c r="B25" s="1013"/>
      <c r="C25" s="1013"/>
      <c r="D25" s="1013"/>
      <c r="E25" s="1013"/>
      <c r="F25" s="696"/>
      <c r="G25" s="861"/>
    </row>
    <row r="26" spans="1:17" s="697" customFormat="1">
      <c r="A26" s="804" t="s">
        <v>82</v>
      </c>
      <c r="B26" s="756" t="s">
        <v>653</v>
      </c>
      <c r="C26" s="805"/>
      <c r="D26" s="805"/>
      <c r="E26" s="805"/>
      <c r="F26" s="755">
        <f>+F27+F29</f>
        <v>27000</v>
      </c>
      <c r="G26" s="808"/>
      <c r="H26" s="694"/>
      <c r="I26" s="694"/>
      <c r="J26" s="693"/>
    </row>
    <row r="27" spans="1:17">
      <c r="A27" s="701"/>
      <c r="B27" s="1548" t="s">
        <v>1417</v>
      </c>
      <c r="C27" s="1548"/>
      <c r="D27" s="1548"/>
      <c r="E27" s="1548"/>
      <c r="F27" s="696">
        <v>25000</v>
      </c>
      <c r="G27" s="861"/>
      <c r="H27" s="694">
        <f>+ROUND(F27/1.27,0)</f>
        <v>19685</v>
      </c>
      <c r="I27" s="694">
        <f>+F27-H27</f>
        <v>5315</v>
      </c>
      <c r="J27" s="693" t="s">
        <v>1063</v>
      </c>
    </row>
    <row r="28" spans="1:17">
      <c r="A28" s="701"/>
      <c r="B28" s="1012"/>
      <c r="C28" s="1012"/>
      <c r="D28" s="1012"/>
      <c r="E28" s="1012"/>
      <c r="F28" s="696"/>
      <c r="G28" s="861"/>
    </row>
    <row r="29" spans="1:17" s="697" customFormat="1">
      <c r="A29" s="701"/>
      <c r="B29" s="1545" t="s">
        <v>1449</v>
      </c>
      <c r="C29" s="1545"/>
      <c r="D29" s="1545"/>
      <c r="E29" s="1545"/>
      <c r="F29" s="696">
        <v>2000</v>
      </c>
      <c r="G29" s="861"/>
      <c r="H29" s="694">
        <f>+ROUND(F29/1.27,0)</f>
        <v>1575</v>
      </c>
      <c r="I29" s="694">
        <f>+F29-H29</f>
        <v>425</v>
      </c>
      <c r="J29" s="693" t="s">
        <v>1063</v>
      </c>
      <c r="K29" s="693" t="s">
        <v>1077</v>
      </c>
      <c r="L29" s="693"/>
      <c r="M29" s="693"/>
      <c r="N29" s="693"/>
      <c r="O29" s="693"/>
      <c r="P29" s="693"/>
      <c r="Q29" s="693"/>
    </row>
    <row r="30" spans="1:17" s="697" customFormat="1">
      <c r="A30" s="701"/>
      <c r="B30" s="1551"/>
      <c r="C30" s="1551"/>
      <c r="D30" s="1551"/>
      <c r="E30" s="1551"/>
      <c r="F30" s="696"/>
      <c r="G30" s="861"/>
      <c r="H30" s="694"/>
      <c r="I30" s="694"/>
      <c r="J30" s="693"/>
      <c r="K30" s="693"/>
      <c r="L30" s="693"/>
      <c r="M30" s="693"/>
      <c r="N30" s="693"/>
      <c r="O30" s="693"/>
      <c r="P30" s="693"/>
      <c r="Q30" s="693"/>
    </row>
    <row r="31" spans="1:17">
      <c r="A31" s="804" t="s">
        <v>830</v>
      </c>
      <c r="B31" s="756" t="s">
        <v>1451</v>
      </c>
      <c r="C31" s="805"/>
      <c r="D31" s="805"/>
      <c r="E31" s="805"/>
      <c r="F31" s="755">
        <v>2500</v>
      </c>
      <c r="G31" s="808"/>
      <c r="H31" s="694">
        <f>+ROUND(F31/1.27,0)</f>
        <v>1969</v>
      </c>
      <c r="I31" s="694">
        <f>+F31-H31</f>
        <v>531</v>
      </c>
      <c r="J31" s="693" t="s">
        <v>1064</v>
      </c>
      <c r="K31" s="697"/>
      <c r="L31" s="697"/>
      <c r="M31" s="697"/>
      <c r="N31" s="697"/>
      <c r="O31" s="697"/>
      <c r="P31" s="697"/>
      <c r="Q31" s="697"/>
    </row>
    <row r="32" spans="1:17" ht="24" customHeight="1">
      <c r="A32" s="701"/>
      <c r="B32" s="1548" t="s">
        <v>1418</v>
      </c>
      <c r="C32" s="1548"/>
      <c r="D32" s="1548"/>
      <c r="E32" s="1548"/>
      <c r="F32" s="696"/>
      <c r="G32" s="861"/>
    </row>
    <row r="33" spans="1:17">
      <c r="A33" s="701"/>
      <c r="B33" s="1013"/>
      <c r="C33" s="1013"/>
      <c r="D33" s="1013"/>
      <c r="E33" s="1013"/>
      <c r="F33" s="696"/>
      <c r="G33" s="861"/>
    </row>
    <row r="34" spans="1:17">
      <c r="A34" s="804" t="s">
        <v>831</v>
      </c>
      <c r="B34" s="756" t="s">
        <v>1452</v>
      </c>
      <c r="C34" s="805"/>
      <c r="D34" s="805"/>
      <c r="E34" s="805"/>
      <c r="F34" s="755">
        <v>7000</v>
      </c>
      <c r="G34" s="808"/>
      <c r="H34" s="694">
        <f>+ROUND(F34/1.27,0)</f>
        <v>5512</v>
      </c>
      <c r="I34" s="694">
        <f>+F34-H34</f>
        <v>1488</v>
      </c>
      <c r="J34" s="693" t="s">
        <v>1065</v>
      </c>
      <c r="K34" s="697"/>
      <c r="L34" s="693" t="s">
        <v>1450</v>
      </c>
      <c r="M34" s="697"/>
      <c r="N34" s="693" t="s">
        <v>1416</v>
      </c>
      <c r="Q34" s="697"/>
    </row>
    <row r="35" spans="1:17" ht="28.5" customHeight="1">
      <c r="A35" s="701"/>
      <c r="B35" s="1548" t="s">
        <v>1419</v>
      </c>
      <c r="C35" s="1548"/>
      <c r="D35" s="1548"/>
      <c r="E35" s="1548"/>
      <c r="F35" s="696"/>
      <c r="G35" s="861"/>
    </row>
    <row r="36" spans="1:17">
      <c r="A36" s="701"/>
      <c r="B36" s="1013"/>
      <c r="C36" s="1013"/>
      <c r="D36" s="1013"/>
      <c r="E36" s="1013"/>
      <c r="F36" s="696"/>
      <c r="G36" s="861"/>
    </row>
    <row r="37" spans="1:17" s="697" customFormat="1">
      <c r="A37" s="804" t="s">
        <v>832</v>
      </c>
      <c r="B37" s="756" t="s">
        <v>1453</v>
      </c>
      <c r="C37" s="805"/>
      <c r="D37" s="805"/>
      <c r="E37" s="805"/>
      <c r="F37" s="755">
        <f>+F39+F40+F41+F42+F43+F44</f>
        <v>10500</v>
      </c>
      <c r="G37" s="808"/>
      <c r="H37" s="905"/>
      <c r="I37" s="905"/>
      <c r="J37" s="693"/>
      <c r="N37" s="693" t="s">
        <v>1416</v>
      </c>
      <c r="O37" s="693"/>
      <c r="P37" s="693"/>
    </row>
    <row r="38" spans="1:17" ht="25.5" customHeight="1">
      <c r="A38" s="701"/>
      <c r="B38" s="1548" t="s">
        <v>1189</v>
      </c>
      <c r="C38" s="1548"/>
      <c r="D38" s="1548"/>
      <c r="E38" s="1548"/>
      <c r="F38" s="696"/>
      <c r="G38" s="861"/>
    </row>
    <row r="39" spans="1:17">
      <c r="A39" s="701"/>
      <c r="B39" s="1545" t="s">
        <v>1059</v>
      </c>
      <c r="C39" s="1545"/>
      <c r="D39" s="1545"/>
      <c r="E39" s="1545"/>
      <c r="F39" s="696">
        <v>1000</v>
      </c>
      <c r="G39" s="861"/>
      <c r="H39" s="694">
        <f t="shared" ref="H39:H44" si="0">+ROUND(F39/1.27,0)</f>
        <v>787</v>
      </c>
      <c r="I39" s="694">
        <f t="shared" ref="I39:I44" si="1">+F39-H39</f>
        <v>213</v>
      </c>
      <c r="J39" s="693" t="s">
        <v>1066</v>
      </c>
      <c r="N39" s="693" t="s">
        <v>1416</v>
      </c>
    </row>
    <row r="40" spans="1:17">
      <c r="A40" s="701"/>
      <c r="B40" s="1552" t="s">
        <v>1420</v>
      </c>
      <c r="C40" s="1552"/>
      <c r="D40" s="1552"/>
      <c r="E40" s="1552"/>
      <c r="F40" s="696">
        <v>1000</v>
      </c>
      <c r="G40" s="861"/>
      <c r="H40" s="694">
        <f t="shared" si="0"/>
        <v>787</v>
      </c>
      <c r="I40" s="694">
        <f t="shared" si="1"/>
        <v>213</v>
      </c>
      <c r="J40" s="693" t="s">
        <v>1066</v>
      </c>
      <c r="N40" s="693" t="s">
        <v>1416</v>
      </c>
    </row>
    <row r="41" spans="1:17">
      <c r="A41" s="701"/>
      <c r="B41" s="1552" t="s">
        <v>1421</v>
      </c>
      <c r="C41" s="1552"/>
      <c r="D41" s="1552"/>
      <c r="E41" s="1552"/>
      <c r="F41" s="696">
        <v>3000</v>
      </c>
      <c r="G41" s="861"/>
      <c r="H41" s="694">
        <f t="shared" si="0"/>
        <v>2362</v>
      </c>
      <c r="I41" s="694">
        <f t="shared" si="1"/>
        <v>638</v>
      </c>
      <c r="J41" s="693" t="s">
        <v>1066</v>
      </c>
      <c r="N41" s="693" t="s">
        <v>1416</v>
      </c>
    </row>
    <row r="42" spans="1:17" s="697" customFormat="1">
      <c r="A42" s="701"/>
      <c r="B42" s="1546" t="s">
        <v>823</v>
      </c>
      <c r="C42" s="1546"/>
      <c r="D42" s="1546"/>
      <c r="E42" s="1546"/>
      <c r="F42" s="696">
        <f>0+3000</f>
        <v>3000</v>
      </c>
      <c r="G42" s="861"/>
      <c r="H42" s="694">
        <f>+ROUND(F42/1.27,0)</f>
        <v>2362</v>
      </c>
      <c r="I42" s="694">
        <f>+F42-H42</f>
        <v>638</v>
      </c>
      <c r="J42" s="693" t="s">
        <v>1066</v>
      </c>
      <c r="K42" s="693"/>
      <c r="L42" s="693"/>
      <c r="M42" s="693"/>
      <c r="N42" s="693" t="s">
        <v>1416</v>
      </c>
      <c r="O42" s="693"/>
      <c r="P42" s="693"/>
      <c r="Q42" s="693"/>
    </row>
    <row r="43" spans="1:17">
      <c r="A43" s="701"/>
      <c r="B43" s="1546" t="s">
        <v>1060</v>
      </c>
      <c r="C43" s="1546"/>
      <c r="D43" s="1546"/>
      <c r="E43" s="1546"/>
      <c r="F43" s="696">
        <v>0</v>
      </c>
      <c r="G43" s="861"/>
      <c r="H43" s="694">
        <f t="shared" si="0"/>
        <v>0</v>
      </c>
      <c r="I43" s="694">
        <f t="shared" si="1"/>
        <v>0</v>
      </c>
      <c r="J43" s="693" t="s">
        <v>1066</v>
      </c>
      <c r="N43" s="693" t="s">
        <v>1416</v>
      </c>
    </row>
    <row r="44" spans="1:17">
      <c r="A44" s="701"/>
      <c r="B44" s="1546" t="s">
        <v>1422</v>
      </c>
      <c r="C44" s="1546"/>
      <c r="D44" s="1546"/>
      <c r="E44" s="1546"/>
      <c r="F44" s="696">
        <v>2500</v>
      </c>
      <c r="G44" s="861"/>
      <c r="H44" s="694">
        <f t="shared" si="0"/>
        <v>1969</v>
      </c>
      <c r="I44" s="694">
        <f t="shared" si="1"/>
        <v>531</v>
      </c>
      <c r="J44" s="693" t="s">
        <v>1066</v>
      </c>
    </row>
    <row r="45" spans="1:17">
      <c r="A45" s="701"/>
      <c r="B45" s="1013"/>
      <c r="C45" s="1013"/>
      <c r="D45" s="1013"/>
      <c r="E45" s="1013"/>
      <c r="F45" s="696"/>
      <c r="G45" s="861"/>
    </row>
    <row r="46" spans="1:17">
      <c r="A46" s="804" t="s">
        <v>833</v>
      </c>
      <c r="B46" s="756" t="s">
        <v>1454</v>
      </c>
      <c r="C46" s="805"/>
      <c r="D46" s="805"/>
      <c r="E46" s="805"/>
      <c r="F46" s="755">
        <f>+F47+F49</f>
        <v>3500</v>
      </c>
      <c r="G46" s="808"/>
      <c r="K46" s="697"/>
      <c r="L46" s="697"/>
      <c r="M46" s="697"/>
      <c r="N46" s="697"/>
      <c r="O46" s="697"/>
      <c r="P46" s="697"/>
      <c r="Q46" s="697"/>
    </row>
    <row r="47" spans="1:17">
      <c r="A47" s="701"/>
      <c r="B47" s="1548" t="s">
        <v>1456</v>
      </c>
      <c r="C47" s="1548"/>
      <c r="D47" s="1548"/>
      <c r="E47" s="1548"/>
      <c r="F47" s="696">
        <v>3000</v>
      </c>
      <c r="G47" s="861"/>
      <c r="H47" s="694">
        <f>+ROUND(F47/1.27,0)</f>
        <v>2362</v>
      </c>
      <c r="I47" s="694">
        <f>+F47-H47</f>
        <v>638</v>
      </c>
      <c r="J47" s="693" t="s">
        <v>1067</v>
      </c>
    </row>
    <row r="48" spans="1:17" s="697" customFormat="1">
      <c r="A48" s="701"/>
      <c r="B48" s="1012"/>
      <c r="C48" s="1012"/>
      <c r="D48" s="1012"/>
      <c r="E48" s="1012"/>
      <c r="F48" s="696"/>
      <c r="G48" s="861"/>
      <c r="H48" s="694"/>
      <c r="I48" s="694"/>
      <c r="J48" s="693"/>
      <c r="K48" s="693"/>
      <c r="L48" s="693"/>
      <c r="M48" s="693"/>
      <c r="N48" s="693"/>
      <c r="O48" s="693"/>
      <c r="P48" s="693"/>
      <c r="Q48" s="693"/>
    </row>
    <row r="49" spans="1:17" ht="39" customHeight="1">
      <c r="A49" s="701"/>
      <c r="B49" s="1545" t="s">
        <v>1455</v>
      </c>
      <c r="C49" s="1545"/>
      <c r="D49" s="1545"/>
      <c r="E49" s="1545"/>
      <c r="F49" s="696">
        <v>500</v>
      </c>
      <c r="G49" s="861"/>
      <c r="H49" s="694">
        <f>+ROUND(F49/1.27,0)</f>
        <v>394</v>
      </c>
      <c r="I49" s="694">
        <f>+F49-H49</f>
        <v>106</v>
      </c>
      <c r="J49" s="693" t="s">
        <v>1067</v>
      </c>
    </row>
    <row r="50" spans="1:17">
      <c r="A50" s="701"/>
      <c r="B50" s="1013"/>
      <c r="C50" s="1013"/>
      <c r="D50" s="1013"/>
      <c r="E50" s="1013"/>
      <c r="F50" s="696"/>
      <c r="G50" s="861"/>
    </row>
    <row r="51" spans="1:17">
      <c r="A51" s="804" t="s">
        <v>834</v>
      </c>
      <c r="B51" s="756" t="s">
        <v>1468</v>
      </c>
      <c r="C51" s="805"/>
      <c r="D51" s="805"/>
      <c r="E51" s="805"/>
      <c r="F51" s="755">
        <f>+F53+F55+F57</f>
        <v>14900</v>
      </c>
      <c r="G51" s="808"/>
      <c r="H51" s="905"/>
      <c r="I51" s="905"/>
      <c r="K51" s="697"/>
      <c r="L51" s="697"/>
      <c r="M51" s="697"/>
      <c r="N51" s="697"/>
      <c r="O51" s="697"/>
      <c r="P51" s="697"/>
      <c r="Q51" s="697"/>
    </row>
    <row r="52" spans="1:17">
      <c r="A52" s="701"/>
      <c r="B52" s="1012"/>
      <c r="C52" s="1012"/>
      <c r="D52" s="1012"/>
      <c r="E52" s="1012"/>
      <c r="F52" s="696"/>
      <c r="G52" s="861"/>
    </row>
    <row r="53" spans="1:17">
      <c r="A53" s="701"/>
      <c r="B53" s="1548" t="s">
        <v>1459</v>
      </c>
      <c r="C53" s="1548"/>
      <c r="D53" s="1548"/>
      <c r="E53" s="1548"/>
      <c r="F53" s="861">
        <f>4000-2000</f>
        <v>2000</v>
      </c>
      <c r="G53" s="861"/>
      <c r="H53" s="694">
        <f>+ROUND(F53/1.27,0)</f>
        <v>1575</v>
      </c>
      <c r="I53" s="694">
        <f>+F53-H53</f>
        <v>425</v>
      </c>
      <c r="J53" s="693" t="s">
        <v>987</v>
      </c>
    </row>
    <row r="54" spans="1:17">
      <c r="A54" s="701"/>
      <c r="B54" s="1012"/>
      <c r="C54" s="1012"/>
      <c r="D54" s="1012"/>
      <c r="E54" s="1012"/>
      <c r="F54" s="861"/>
      <c r="G54" s="861"/>
    </row>
    <row r="55" spans="1:17">
      <c r="A55" s="701"/>
      <c r="B55" s="1548" t="s">
        <v>1457</v>
      </c>
      <c r="C55" s="1548"/>
      <c r="D55" s="1548"/>
      <c r="E55" s="1548"/>
      <c r="F55" s="861">
        <f>5000-1000</f>
        <v>4000</v>
      </c>
      <c r="G55" s="861"/>
      <c r="H55" s="694">
        <f>+ROUND(F55/1.27,0)</f>
        <v>3150</v>
      </c>
      <c r="I55" s="694">
        <f>+F55-H55</f>
        <v>850</v>
      </c>
      <c r="J55" s="693" t="s">
        <v>987</v>
      </c>
    </row>
    <row r="56" spans="1:17">
      <c r="A56" s="701"/>
      <c r="B56" s="1012"/>
      <c r="C56" s="1012"/>
      <c r="D56" s="1012"/>
      <c r="E56" s="1012"/>
      <c r="F56" s="696"/>
      <c r="G56" s="861"/>
    </row>
    <row r="57" spans="1:17">
      <c r="B57" s="1545" t="s">
        <v>1458</v>
      </c>
      <c r="C57" s="1545"/>
      <c r="D57" s="1545"/>
      <c r="E57" s="1545"/>
      <c r="F57" s="694">
        <v>8900</v>
      </c>
      <c r="H57" s="694">
        <f>+ROUND(F57/1.27,0)</f>
        <v>7008</v>
      </c>
      <c r="I57" s="694">
        <f>+F57-H57</f>
        <v>1892</v>
      </c>
      <c r="J57" s="693" t="s">
        <v>987</v>
      </c>
    </row>
    <row r="58" spans="1:17">
      <c r="A58" s="701"/>
      <c r="F58" s="696"/>
      <c r="G58" s="861"/>
    </row>
    <row r="59" spans="1:17">
      <c r="A59" s="804" t="s">
        <v>835</v>
      </c>
      <c r="B59" s="756" t="s">
        <v>824</v>
      </c>
      <c r="C59" s="805"/>
      <c r="D59" s="805"/>
      <c r="E59" s="805"/>
      <c r="F59" s="1375">
        <f>+F65+F70</f>
        <v>43786</v>
      </c>
      <c r="G59" s="808"/>
      <c r="H59" s="905"/>
      <c r="I59" s="905"/>
      <c r="K59" s="697"/>
      <c r="L59" s="697"/>
      <c r="M59" s="697"/>
      <c r="N59" s="697"/>
      <c r="O59" s="697"/>
      <c r="P59" s="697"/>
      <c r="Q59" s="697"/>
    </row>
    <row r="60" spans="1:17" s="697" customFormat="1">
      <c r="A60" s="701"/>
      <c r="B60" s="1545" t="s">
        <v>1423</v>
      </c>
      <c r="C60" s="1545"/>
      <c r="D60" s="1545"/>
      <c r="E60" s="1545"/>
      <c r="F60" s="696"/>
      <c r="G60" s="861"/>
      <c r="H60" s="694"/>
      <c r="I60" s="694"/>
      <c r="J60" s="693"/>
      <c r="K60" s="693"/>
      <c r="L60" s="693"/>
      <c r="M60" s="693"/>
      <c r="N60" s="693" t="s">
        <v>1416</v>
      </c>
      <c r="O60" s="693"/>
      <c r="P60" s="693"/>
      <c r="Q60" s="693"/>
    </row>
    <row r="61" spans="1:17">
      <c r="A61" s="701"/>
      <c r="B61" s="1549" t="s">
        <v>1424</v>
      </c>
      <c r="C61" s="1549"/>
      <c r="D61" s="1549"/>
      <c r="E61" s="1549"/>
      <c r="F61" s="696"/>
      <c r="G61" s="861"/>
      <c r="N61" s="693" t="s">
        <v>1416</v>
      </c>
    </row>
    <row r="62" spans="1:17">
      <c r="A62" s="701"/>
      <c r="B62" s="1551" t="s">
        <v>1425</v>
      </c>
      <c r="C62" s="1551"/>
      <c r="D62" s="1551"/>
      <c r="E62" s="1551"/>
      <c r="F62" s="696"/>
      <c r="G62" s="861"/>
    </row>
    <row r="63" spans="1:17">
      <c r="A63" s="701"/>
      <c r="B63" s="1552" t="s">
        <v>1426</v>
      </c>
      <c r="C63" s="1552"/>
      <c r="D63" s="1552"/>
      <c r="E63" s="1552"/>
      <c r="F63" s="991"/>
      <c r="G63" s="862"/>
    </row>
    <row r="64" spans="1:17">
      <c r="A64" s="701"/>
      <c r="D64" s="1011"/>
      <c r="E64" s="1011"/>
      <c r="F64" s="696"/>
      <c r="G64" s="861"/>
    </row>
    <row r="65" spans="1:17">
      <c r="A65" s="701"/>
      <c r="B65" s="693" t="s">
        <v>1460</v>
      </c>
      <c r="D65" s="1011"/>
      <c r="E65" s="1011"/>
      <c r="F65" s="806">
        <f>+F66+F67+F68</f>
        <v>28786</v>
      </c>
      <c r="G65" s="862"/>
    </row>
    <row r="66" spans="1:17" s="994" customFormat="1" ht="12" customHeight="1">
      <c r="A66" s="993"/>
      <c r="D66" s="995"/>
      <c r="E66" s="995" t="s">
        <v>989</v>
      </c>
      <c r="F66" s="996">
        <f>14097+12132</f>
        <v>26229</v>
      </c>
      <c r="G66" s="997"/>
      <c r="H66" s="998">
        <f>+F66</f>
        <v>26229</v>
      </c>
      <c r="I66" s="998"/>
      <c r="J66" s="994" t="s">
        <v>1068</v>
      </c>
    </row>
    <row r="67" spans="1:17" s="994" customFormat="1" ht="12" customHeight="1">
      <c r="A67" s="993"/>
      <c r="D67" s="995"/>
      <c r="E67" s="995" t="s">
        <v>988</v>
      </c>
      <c r="F67" s="996">
        <f>1374+1183</f>
        <v>2557</v>
      </c>
      <c r="G67" s="997"/>
      <c r="H67" s="998">
        <f>+F67</f>
        <v>2557</v>
      </c>
      <c r="I67" s="998"/>
      <c r="J67" s="994" t="s">
        <v>1068</v>
      </c>
    </row>
    <row r="68" spans="1:17" s="994" customFormat="1" ht="12" customHeight="1">
      <c r="A68" s="993"/>
      <c r="D68" s="995"/>
      <c r="E68" s="995" t="s">
        <v>1061</v>
      </c>
      <c r="F68" s="996">
        <v>0</v>
      </c>
      <c r="G68" s="997"/>
      <c r="H68" s="998">
        <f>+ROUND(F68/1.27,0)</f>
        <v>0</v>
      </c>
      <c r="I68" s="998">
        <f>+F68-H68</f>
        <v>0</v>
      </c>
      <c r="J68" s="994" t="s">
        <v>1068</v>
      </c>
    </row>
    <row r="69" spans="1:17" ht="12" customHeight="1">
      <c r="A69" s="701"/>
      <c r="D69" s="1011"/>
      <c r="E69" s="1011"/>
      <c r="F69" s="696"/>
      <c r="G69" s="861"/>
    </row>
    <row r="70" spans="1:17" ht="12" customHeight="1">
      <c r="A70" s="701"/>
      <c r="B70" s="1545" t="s">
        <v>1461</v>
      </c>
      <c r="C70" s="1545"/>
      <c r="D70" s="1545"/>
      <c r="E70" s="1545"/>
      <c r="F70" s="992">
        <v>15000</v>
      </c>
      <c r="G70" s="861"/>
      <c r="H70" s="694">
        <f>+ROUND(F70/1.27,0)</f>
        <v>11811</v>
      </c>
      <c r="I70" s="694">
        <f>+F70-H70</f>
        <v>3189</v>
      </c>
      <c r="J70" s="693" t="s">
        <v>1068</v>
      </c>
    </row>
    <row r="71" spans="1:17" ht="12" customHeight="1">
      <c r="A71" s="701"/>
      <c r="B71" s="1010"/>
      <c r="C71" s="1010"/>
      <c r="D71" s="1010"/>
      <c r="E71" s="1010"/>
      <c r="F71" s="992"/>
      <c r="G71" s="861"/>
    </row>
    <row r="72" spans="1:17" ht="12.75" thickBot="1">
      <c r="A72" s="701"/>
      <c r="B72" s="1011"/>
      <c r="C72" s="1011"/>
      <c r="D72" s="1011"/>
      <c r="E72" s="1011"/>
      <c r="F72" s="696"/>
      <c r="G72" s="861"/>
    </row>
    <row r="73" spans="1:17" ht="12.75" thickBot="1">
      <c r="A73" s="700" t="s">
        <v>5</v>
      </c>
      <c r="B73" s="697" t="s">
        <v>48</v>
      </c>
      <c r="C73" s="697"/>
      <c r="D73" s="805"/>
      <c r="E73" s="805"/>
      <c r="F73" s="807">
        <f>+F75+F78+F80+F83+F86+F90+F95+F97</f>
        <v>28824</v>
      </c>
      <c r="G73" s="808"/>
      <c r="H73" s="905"/>
      <c r="I73" s="905"/>
      <c r="K73" s="697"/>
      <c r="L73" s="697"/>
      <c r="M73" s="697"/>
      <c r="N73" s="697"/>
      <c r="O73" s="697"/>
      <c r="P73" s="697"/>
      <c r="Q73" s="697"/>
    </row>
    <row r="74" spans="1:17">
      <c r="A74" s="701"/>
      <c r="B74" s="1011"/>
      <c r="C74" s="1011"/>
      <c r="D74" s="1011"/>
      <c r="E74" s="1011"/>
      <c r="F74" s="696"/>
      <c r="G74" s="861"/>
    </row>
    <row r="75" spans="1:17">
      <c r="A75" s="804" t="s">
        <v>54</v>
      </c>
      <c r="B75" s="756" t="s">
        <v>784</v>
      </c>
      <c r="C75" s="1013"/>
      <c r="D75" s="1013"/>
      <c r="E75" s="1013"/>
      <c r="F75" s="755">
        <v>500</v>
      </c>
      <c r="G75" s="808"/>
      <c r="H75" s="694">
        <f>+F75</f>
        <v>500</v>
      </c>
      <c r="J75" s="693" t="s">
        <v>987</v>
      </c>
    </row>
    <row r="76" spans="1:17">
      <c r="A76" s="804"/>
      <c r="B76" s="1545" t="s">
        <v>1214</v>
      </c>
      <c r="C76" s="1545"/>
      <c r="D76" s="1545"/>
      <c r="E76" s="1545"/>
      <c r="F76" s="806"/>
      <c r="G76" s="808"/>
    </row>
    <row r="77" spans="1:17">
      <c r="A77" s="804"/>
      <c r="B77" s="1010"/>
      <c r="C77" s="1010"/>
      <c r="D77" s="1010"/>
      <c r="E77" s="1010"/>
      <c r="F77" s="806"/>
      <c r="G77" s="808"/>
    </row>
    <row r="78" spans="1:17">
      <c r="A78" s="804" t="s">
        <v>55</v>
      </c>
      <c r="B78" s="1557" t="s">
        <v>1427</v>
      </c>
      <c r="C78" s="1557"/>
      <c r="D78" s="1557"/>
      <c r="E78" s="1557"/>
      <c r="F78" s="755">
        <v>0</v>
      </c>
      <c r="G78" s="861"/>
      <c r="H78" s="694">
        <f>+F78</f>
        <v>0</v>
      </c>
      <c r="J78" s="693" t="s">
        <v>987</v>
      </c>
    </row>
    <row r="79" spans="1:17">
      <c r="A79" s="804"/>
      <c r="B79" s="1010"/>
      <c r="C79" s="1010"/>
      <c r="D79" s="1010"/>
      <c r="E79" s="1010"/>
      <c r="F79" s="696"/>
      <c r="G79" s="861"/>
    </row>
    <row r="80" spans="1:17">
      <c r="A80" s="804" t="s">
        <v>83</v>
      </c>
      <c r="B80" s="756" t="s">
        <v>1466</v>
      </c>
      <c r="C80" s="1013"/>
      <c r="D80" s="1013"/>
      <c r="E80" s="1013"/>
      <c r="F80" s="755">
        <v>4500</v>
      </c>
      <c r="G80" s="808"/>
      <c r="H80" s="694">
        <f>+F80</f>
        <v>4500</v>
      </c>
      <c r="J80" s="693" t="s">
        <v>987</v>
      </c>
    </row>
    <row r="81" spans="1:12" ht="26.25" customHeight="1">
      <c r="A81" s="700"/>
      <c r="B81" s="1556" t="s">
        <v>1428</v>
      </c>
      <c r="C81" s="1556"/>
      <c r="D81" s="1556"/>
      <c r="E81" s="1556"/>
      <c r="F81" s="696"/>
      <c r="G81" s="861"/>
    </row>
    <row r="82" spans="1:12">
      <c r="A82" s="804"/>
      <c r="B82" s="1013"/>
      <c r="C82" s="1013"/>
      <c r="D82" s="1013"/>
      <c r="E82" s="1013"/>
      <c r="F82" s="696"/>
      <c r="G82" s="861"/>
    </row>
    <row r="83" spans="1:12">
      <c r="A83" s="804" t="s">
        <v>84</v>
      </c>
      <c r="B83" s="756" t="s">
        <v>1462</v>
      </c>
      <c r="C83" s="1013"/>
      <c r="D83" s="1013"/>
      <c r="E83" s="1013"/>
      <c r="F83" s="755">
        <f>310-10</f>
        <v>300</v>
      </c>
      <c r="G83" s="808"/>
      <c r="H83" s="694">
        <f>+ROUND(F83/1.27,0)</f>
        <v>236</v>
      </c>
      <c r="I83" s="694">
        <f>+F83-H83</f>
        <v>64</v>
      </c>
      <c r="J83" s="693" t="s">
        <v>1075</v>
      </c>
      <c r="L83" s="693" t="s">
        <v>1076</v>
      </c>
    </row>
    <row r="84" spans="1:12">
      <c r="A84" s="700"/>
      <c r="B84" s="1548" t="s">
        <v>836</v>
      </c>
      <c r="C84" s="1548"/>
      <c r="D84" s="1548"/>
      <c r="E84" s="1548"/>
      <c r="F84" s="696"/>
      <c r="G84" s="861"/>
    </row>
    <row r="85" spans="1:12">
      <c r="A85" s="804"/>
      <c r="B85" s="1013"/>
      <c r="C85" s="1013"/>
      <c r="D85" s="1013"/>
      <c r="E85" s="1013"/>
      <c r="F85" s="696"/>
      <c r="G85" s="861"/>
    </row>
    <row r="86" spans="1:12">
      <c r="A86" s="804" t="s">
        <v>85</v>
      </c>
      <c r="B86" s="756" t="s">
        <v>1463</v>
      </c>
      <c r="C86" s="1013"/>
      <c r="D86" s="1013"/>
      <c r="E86" s="1013"/>
      <c r="F86" s="755">
        <f>+F87+F88</f>
        <v>3874</v>
      </c>
      <c r="G86" s="808"/>
    </row>
    <row r="87" spans="1:12">
      <c r="A87" s="804"/>
      <c r="B87" s="1000"/>
      <c r="C87" s="693" t="s">
        <v>1469</v>
      </c>
      <c r="D87" s="1013"/>
      <c r="E87" s="1013"/>
      <c r="F87" s="696">
        <f>3100-1550+837-418</f>
        <v>1969</v>
      </c>
      <c r="G87" s="861"/>
      <c r="H87" s="694">
        <f>+ROUND(F87/1.27,0)</f>
        <v>1550</v>
      </c>
      <c r="I87" s="694">
        <f>+F87-H87</f>
        <v>419</v>
      </c>
      <c r="J87" s="693" t="s">
        <v>1064</v>
      </c>
      <c r="L87" s="693" t="s">
        <v>1076</v>
      </c>
    </row>
    <row r="88" spans="1:12">
      <c r="A88" s="804"/>
      <c r="B88" s="1013"/>
      <c r="C88" s="693" t="s">
        <v>1470</v>
      </c>
      <c r="D88" s="1013"/>
      <c r="E88" s="1013"/>
      <c r="F88" s="696">
        <f>ROUND((1500+1350-1350)*1.27,0)</f>
        <v>1905</v>
      </c>
      <c r="G88" s="861"/>
      <c r="H88" s="694">
        <f>+ROUND(F88/1.27,0)</f>
        <v>1500</v>
      </c>
      <c r="I88" s="694">
        <f>+F88-H88</f>
        <v>405</v>
      </c>
      <c r="J88" s="693" t="s">
        <v>1064</v>
      </c>
      <c r="L88" s="693" t="s">
        <v>1076</v>
      </c>
    </row>
    <row r="89" spans="1:12">
      <c r="A89" s="804"/>
      <c r="B89" s="1013"/>
      <c r="C89" s="1013"/>
      <c r="D89" s="1013"/>
      <c r="E89" s="1013"/>
      <c r="F89" s="696"/>
      <c r="G89" s="861"/>
    </row>
    <row r="90" spans="1:12">
      <c r="A90" s="804" t="s">
        <v>86</v>
      </c>
      <c r="B90" s="756" t="s">
        <v>1465</v>
      </c>
      <c r="C90" s="1013"/>
      <c r="D90" s="1013"/>
      <c r="E90" s="1013"/>
      <c r="F90" s="755">
        <f>+F91+F92+F93</f>
        <v>18150</v>
      </c>
      <c r="G90" s="808"/>
    </row>
    <row r="91" spans="1:12">
      <c r="A91" s="804"/>
      <c r="B91" s="1013"/>
      <c r="C91" s="693" t="s">
        <v>1471</v>
      </c>
      <c r="D91" s="1013"/>
      <c r="E91" s="1013"/>
      <c r="F91" s="696">
        <f>5000*1.27</f>
        <v>6350</v>
      </c>
      <c r="G91" s="861"/>
      <c r="H91" s="694">
        <f>+ROUND(F91/1.27,0)</f>
        <v>5000</v>
      </c>
      <c r="I91" s="694">
        <f>+F91-H91</f>
        <v>1350</v>
      </c>
      <c r="J91" s="693" t="s">
        <v>1075</v>
      </c>
      <c r="L91" s="693" t="s">
        <v>1076</v>
      </c>
    </row>
    <row r="92" spans="1:12">
      <c r="A92" s="804"/>
      <c r="B92" s="1013"/>
      <c r="C92" s="693" t="s">
        <v>1429</v>
      </c>
      <c r="D92" s="1013"/>
      <c r="E92" s="1013"/>
      <c r="F92" s="696">
        <f>9000+300</f>
        <v>9300</v>
      </c>
      <c r="G92" s="861"/>
      <c r="H92" s="694">
        <f>+ROUND(F92/1.27,0)</f>
        <v>7323</v>
      </c>
      <c r="I92" s="694">
        <f>+F92-H92</f>
        <v>1977</v>
      </c>
      <c r="J92" s="693" t="s">
        <v>1075</v>
      </c>
      <c r="L92" s="693" t="s">
        <v>1076</v>
      </c>
    </row>
    <row r="93" spans="1:12">
      <c r="A93" s="804"/>
      <c r="B93" s="1013"/>
      <c r="C93" s="693" t="s">
        <v>1472</v>
      </c>
      <c r="D93" s="1013"/>
      <c r="E93" s="1013"/>
      <c r="F93" s="696">
        <v>2500</v>
      </c>
      <c r="G93" s="861"/>
      <c r="H93" s="694">
        <f>+ROUND(F93/1.27,0)</f>
        <v>1969</v>
      </c>
      <c r="I93" s="694">
        <f>+F93-H93</f>
        <v>531</v>
      </c>
      <c r="J93" s="693" t="s">
        <v>1070</v>
      </c>
      <c r="L93" s="693" t="s">
        <v>1076</v>
      </c>
    </row>
    <row r="94" spans="1:12">
      <c r="A94" s="804"/>
      <c r="B94" s="1013"/>
      <c r="C94" s="1013"/>
      <c r="D94" s="1013"/>
      <c r="E94" s="1013"/>
      <c r="F94" s="696"/>
      <c r="G94" s="861"/>
    </row>
    <row r="95" spans="1:12">
      <c r="A95" s="804" t="s">
        <v>1087</v>
      </c>
      <c r="B95" s="756" t="s">
        <v>1430</v>
      </c>
      <c r="C95" s="1013"/>
      <c r="D95" s="1013"/>
      <c r="E95" s="1013"/>
      <c r="F95" s="755">
        <v>0</v>
      </c>
      <c r="G95" s="808"/>
      <c r="H95" s="694">
        <f>+ROUND(F95/1.27,0)</f>
        <v>0</v>
      </c>
      <c r="I95" s="694">
        <f>+F95-H95</f>
        <v>0</v>
      </c>
      <c r="J95" s="693" t="s">
        <v>1075</v>
      </c>
    </row>
    <row r="96" spans="1:12">
      <c r="A96" s="804"/>
      <c r="B96" s="697"/>
      <c r="C96" s="1013"/>
      <c r="D96" s="1013"/>
      <c r="E96" s="1013"/>
      <c r="F96" s="806"/>
      <c r="G96" s="808"/>
    </row>
    <row r="97" spans="1:12">
      <c r="A97" s="804" t="s">
        <v>1190</v>
      </c>
      <c r="B97" s="756" t="s">
        <v>1431</v>
      </c>
      <c r="C97" s="1013"/>
      <c r="D97" s="1013"/>
      <c r="E97" s="1013"/>
      <c r="F97" s="755">
        <v>1500</v>
      </c>
      <c r="G97" s="808"/>
      <c r="H97" s="694">
        <f>+ROUND(F97/1.27,0)</f>
        <v>1181</v>
      </c>
      <c r="I97" s="694">
        <f>+F97-H97</f>
        <v>319</v>
      </c>
      <c r="J97" s="693" t="s">
        <v>1464</v>
      </c>
      <c r="L97" s="693" t="s">
        <v>1076</v>
      </c>
    </row>
    <row r="98" spans="1:12">
      <c r="A98" s="701"/>
      <c r="B98" s="1013"/>
      <c r="D98" s="1013"/>
      <c r="E98" s="1013"/>
      <c r="F98" s="696"/>
      <c r="G98" s="861"/>
      <c r="H98" s="693"/>
      <c r="I98" s="693"/>
    </row>
    <row r="99" spans="1:12">
      <c r="A99" s="701"/>
      <c r="B99" s="1013"/>
      <c r="D99" s="1013"/>
      <c r="E99" s="1013"/>
      <c r="F99" s="696"/>
      <c r="G99" s="861"/>
    </row>
    <row r="100" spans="1:12">
      <c r="A100" s="700" t="s">
        <v>6</v>
      </c>
      <c r="B100" s="697" t="s">
        <v>966</v>
      </c>
      <c r="C100" s="756"/>
      <c r="D100" s="1013"/>
      <c r="E100" s="1013"/>
      <c r="F100" s="757">
        <f>+F102+F104+F106+F108+F110+F112+F114+F116+F118+F120+F122+F124+F126+F128+F130+F132</f>
        <v>469666</v>
      </c>
      <c r="G100" s="991"/>
      <c r="H100" s="1013"/>
    </row>
    <row r="101" spans="1:12">
      <c r="A101" s="700"/>
      <c r="B101" s="697"/>
      <c r="C101" s="756"/>
      <c r="D101" s="1013"/>
      <c r="E101" s="1013"/>
      <c r="F101" s="863"/>
      <c r="G101" s="991"/>
      <c r="H101" s="1013"/>
    </row>
    <row r="102" spans="1:12" ht="26.25" customHeight="1">
      <c r="A102" s="701" t="s">
        <v>58</v>
      </c>
      <c r="B102" s="1545" t="s">
        <v>1467</v>
      </c>
      <c r="C102" s="1545"/>
      <c r="D102" s="1545"/>
      <c r="E102" s="1545"/>
      <c r="F102" s="1376">
        <v>1440</v>
      </c>
      <c r="G102" s="991"/>
      <c r="H102" s="694">
        <f>+ROUND(F102/1.27,0)</f>
        <v>1134</v>
      </c>
      <c r="I102" s="694">
        <f>+F102-H102</f>
        <v>306</v>
      </c>
      <c r="J102" s="693" t="s">
        <v>1069</v>
      </c>
      <c r="K102" s="693" t="s">
        <v>1077</v>
      </c>
    </row>
    <row r="103" spans="1:12">
      <c r="B103" s="1552"/>
      <c r="C103" s="1552"/>
      <c r="D103" s="1552"/>
      <c r="E103" s="1552"/>
      <c r="G103" s="694"/>
      <c r="H103" s="693"/>
    </row>
    <row r="104" spans="1:12" ht="36.75" customHeight="1">
      <c r="A104" s="702" t="s">
        <v>59</v>
      </c>
      <c r="B104" s="1545" t="s">
        <v>1488</v>
      </c>
      <c r="C104" s="1545"/>
      <c r="D104" s="1545"/>
      <c r="E104" s="1545"/>
      <c r="F104" s="1377">
        <f>+(2000+3000)+13205+3500+2200+2800+1000+15000</f>
        <v>42705</v>
      </c>
      <c r="G104" s="694"/>
      <c r="H104" s="694">
        <f>+F104</f>
        <v>42705</v>
      </c>
      <c r="J104" s="693" t="s">
        <v>987</v>
      </c>
      <c r="K104" s="693" t="s">
        <v>1077</v>
      </c>
    </row>
    <row r="105" spans="1:12">
      <c r="G105" s="694"/>
      <c r="H105" s="693"/>
    </row>
    <row r="106" spans="1:12">
      <c r="A106" s="702" t="s">
        <v>60</v>
      </c>
      <c r="B106" s="1545" t="s">
        <v>1432</v>
      </c>
      <c r="C106" s="1545"/>
      <c r="D106" s="1545"/>
      <c r="E106" s="1545"/>
      <c r="F106" s="1377">
        <v>6000</v>
      </c>
      <c r="G106" s="694"/>
      <c r="H106" s="694">
        <f>+ROUND(F106/1.27,0)</f>
        <v>4724</v>
      </c>
      <c r="I106" s="694">
        <f>+F106-H106</f>
        <v>1276</v>
      </c>
      <c r="J106" s="693" t="s">
        <v>1069</v>
      </c>
      <c r="K106" s="693" t="s">
        <v>1078</v>
      </c>
    </row>
    <row r="107" spans="1:12">
      <c r="G107" s="694"/>
      <c r="H107" s="693"/>
    </row>
    <row r="108" spans="1:12">
      <c r="A108" s="702" t="s">
        <v>180</v>
      </c>
      <c r="B108" s="1545" t="s">
        <v>1433</v>
      </c>
      <c r="C108" s="1545"/>
      <c r="D108" s="1545"/>
      <c r="E108" s="1545"/>
      <c r="F108" s="1378">
        <f>6500-6500</f>
        <v>0</v>
      </c>
      <c r="G108" s="694"/>
      <c r="H108" s="694">
        <f>+ROUND(F108/1.27,0)</f>
        <v>0</v>
      </c>
      <c r="I108" s="694">
        <f>+F108-H108</f>
        <v>0</v>
      </c>
      <c r="J108" s="693" t="s">
        <v>1066</v>
      </c>
      <c r="K108" s="693" t="s">
        <v>1077</v>
      </c>
    </row>
    <row r="109" spans="1:12">
      <c r="G109" s="694"/>
      <c r="H109" s="693"/>
    </row>
    <row r="110" spans="1:12" ht="27" customHeight="1">
      <c r="A110" s="702" t="s">
        <v>181</v>
      </c>
      <c r="B110" s="1545" t="s">
        <v>1604</v>
      </c>
      <c r="C110" s="1545"/>
      <c r="D110" s="1545"/>
      <c r="E110" s="1545"/>
      <c r="F110" s="1377">
        <v>29999</v>
      </c>
      <c r="G110" s="694"/>
      <c r="H110" s="694">
        <f>+ROUND(F110/1.27,0)</f>
        <v>23621</v>
      </c>
      <c r="I110" s="694">
        <f>+F110-H110</f>
        <v>6378</v>
      </c>
      <c r="J110" s="693" t="s">
        <v>987</v>
      </c>
      <c r="K110" s="693" t="s">
        <v>1077</v>
      </c>
    </row>
    <row r="111" spans="1:12">
      <c r="G111" s="694"/>
      <c r="H111" s="693"/>
    </row>
    <row r="112" spans="1:12">
      <c r="A112" s="702" t="s">
        <v>786</v>
      </c>
      <c r="B112" s="1545" t="s">
        <v>1434</v>
      </c>
      <c r="C112" s="1545"/>
      <c r="D112" s="1545"/>
      <c r="E112" s="1545"/>
      <c r="F112" s="1377">
        <v>8543</v>
      </c>
      <c r="G112" s="694"/>
      <c r="H112" s="694">
        <f>+ROUND(F112/1.27,0)</f>
        <v>6727</v>
      </c>
      <c r="I112" s="694">
        <f>+F112-H112</f>
        <v>1816</v>
      </c>
      <c r="J112" s="693" t="s">
        <v>829</v>
      </c>
      <c r="K112" s="693" t="s">
        <v>1077</v>
      </c>
    </row>
    <row r="113" spans="1:11">
      <c r="G113" s="694"/>
      <c r="H113" s="693"/>
    </row>
    <row r="114" spans="1:11">
      <c r="A114" s="702" t="s">
        <v>960</v>
      </c>
      <c r="B114" s="1545" t="s">
        <v>1435</v>
      </c>
      <c r="C114" s="1545"/>
      <c r="D114" s="1545"/>
      <c r="E114" s="1545"/>
      <c r="F114" s="1377">
        <v>6672</v>
      </c>
      <c r="G114" s="694"/>
      <c r="H114" s="694">
        <f>+ROUND(F114/1.27,0)</f>
        <v>5254</v>
      </c>
      <c r="I114" s="694">
        <f>+F114-H114</f>
        <v>1418</v>
      </c>
      <c r="J114" s="693" t="s">
        <v>1473</v>
      </c>
      <c r="K114" s="693" t="s">
        <v>1085</v>
      </c>
    </row>
    <row r="115" spans="1:11">
      <c r="G115" s="694"/>
      <c r="H115" s="693"/>
    </row>
    <row r="116" spans="1:11">
      <c r="A116" s="702" t="s">
        <v>961</v>
      </c>
      <c r="B116" s="1545" t="s">
        <v>1436</v>
      </c>
      <c r="C116" s="1545"/>
      <c r="D116" s="1545"/>
      <c r="E116" s="1545"/>
      <c r="F116" s="1377">
        <v>4000</v>
      </c>
      <c r="G116" s="694"/>
      <c r="H116" s="694">
        <f>+ROUND(F116/1.27,0)</f>
        <v>3150</v>
      </c>
      <c r="I116" s="694">
        <f>+F116-H116</f>
        <v>850</v>
      </c>
      <c r="J116" s="693" t="s">
        <v>987</v>
      </c>
      <c r="K116" s="693" t="s">
        <v>1077</v>
      </c>
    </row>
    <row r="117" spans="1:11">
      <c r="G117" s="694"/>
      <c r="H117" s="693"/>
    </row>
    <row r="118" spans="1:11">
      <c r="A118" s="702" t="s">
        <v>962</v>
      </c>
      <c r="B118" s="1545" t="s">
        <v>1437</v>
      </c>
      <c r="C118" s="1545"/>
      <c r="D118" s="1545"/>
      <c r="E118" s="1545"/>
      <c r="F118" s="1377">
        <v>6000</v>
      </c>
      <c r="G118" s="694"/>
      <c r="H118" s="694">
        <f>+ROUND(F118/1.27,0)</f>
        <v>4724</v>
      </c>
      <c r="I118" s="694">
        <f>+F118-H118</f>
        <v>1276</v>
      </c>
      <c r="J118" s="693" t="s">
        <v>987</v>
      </c>
      <c r="K118" s="693" t="s">
        <v>1085</v>
      </c>
    </row>
    <row r="119" spans="1:11">
      <c r="F119" s="999"/>
      <c r="G119" s="694"/>
      <c r="H119" s="693"/>
    </row>
    <row r="120" spans="1:11">
      <c r="A120" s="702" t="s">
        <v>963</v>
      </c>
      <c r="B120" s="1545" t="s">
        <v>1438</v>
      </c>
      <c r="C120" s="1545"/>
      <c r="D120" s="1545"/>
      <c r="E120" s="1545"/>
      <c r="F120" s="1378">
        <f>500+1300+1500-2000</f>
        <v>1300</v>
      </c>
      <c r="G120" s="694"/>
      <c r="H120" s="694">
        <f>+ROUND(F120/1.27,0)+1</f>
        <v>1025</v>
      </c>
      <c r="I120" s="694">
        <f>+F120-H120</f>
        <v>275</v>
      </c>
      <c r="J120" s="693" t="s">
        <v>1439</v>
      </c>
      <c r="K120" s="693" t="s">
        <v>1085</v>
      </c>
    </row>
    <row r="121" spans="1:11">
      <c r="G121" s="694"/>
    </row>
    <row r="122" spans="1:11">
      <c r="A122" s="702" t="s">
        <v>964</v>
      </c>
      <c r="B122" s="1545" t="s">
        <v>1440</v>
      </c>
      <c r="C122" s="1545"/>
      <c r="D122" s="1545"/>
      <c r="E122" s="1545"/>
      <c r="F122" s="1378">
        <f>6000-6000</f>
        <v>0</v>
      </c>
      <c r="G122" s="694"/>
      <c r="H122" s="694">
        <f>+ROUND(F122/1.27,0)</f>
        <v>0</v>
      </c>
      <c r="I122" s="694">
        <f>+F122-H122</f>
        <v>0</v>
      </c>
      <c r="J122" s="693" t="s">
        <v>987</v>
      </c>
      <c r="K122" s="693" t="s">
        <v>1085</v>
      </c>
    </row>
    <row r="124" spans="1:11">
      <c r="A124" s="702" t="s">
        <v>965</v>
      </c>
      <c r="B124" s="1545" t="s">
        <v>1441</v>
      </c>
      <c r="C124" s="1545"/>
      <c r="D124" s="1545"/>
      <c r="E124" s="1545"/>
      <c r="F124" s="1377">
        <v>500</v>
      </c>
      <c r="H124" s="694">
        <f>+ROUND(F124/1.27,0)</f>
        <v>394</v>
      </c>
      <c r="I124" s="694">
        <f>+F124-H124</f>
        <v>106</v>
      </c>
      <c r="J124" s="693" t="s">
        <v>1062</v>
      </c>
      <c r="K124" s="693" t="s">
        <v>1085</v>
      </c>
    </row>
    <row r="126" spans="1:11">
      <c r="A126" s="702" t="s">
        <v>1084</v>
      </c>
      <c r="B126" s="1545" t="s">
        <v>1442</v>
      </c>
      <c r="C126" s="1545"/>
      <c r="D126" s="1545"/>
      <c r="E126" s="1545"/>
      <c r="F126" s="1378">
        <f>9000-9000</f>
        <v>0</v>
      </c>
      <c r="H126" s="694">
        <f>+ROUND(F126/1.27,0)</f>
        <v>0</v>
      </c>
      <c r="I126" s="694">
        <f>+F126-H126</f>
        <v>0</v>
      </c>
      <c r="J126" s="693" t="s">
        <v>987</v>
      </c>
      <c r="K126" s="693" t="s">
        <v>1085</v>
      </c>
    </row>
    <row r="128" spans="1:11">
      <c r="A128" s="702" t="s">
        <v>1086</v>
      </c>
      <c r="B128" s="1545" t="s">
        <v>1443</v>
      </c>
      <c r="C128" s="1545"/>
      <c r="D128" s="1545"/>
      <c r="E128" s="1545"/>
      <c r="F128" s="1377">
        <f>9996-165</f>
        <v>9831</v>
      </c>
      <c r="H128" s="694">
        <f>+ROUND(F128/1.27,0)</f>
        <v>7741</v>
      </c>
      <c r="I128" s="694">
        <f>+F128-H128</f>
        <v>2090</v>
      </c>
      <c r="J128" s="693" t="s">
        <v>987</v>
      </c>
      <c r="K128" s="693" t="s">
        <v>1085</v>
      </c>
    </row>
    <row r="130" spans="1:11">
      <c r="A130" s="702" t="s">
        <v>1490</v>
      </c>
      <c r="B130" s="1545" t="s">
        <v>1491</v>
      </c>
      <c r="C130" s="1545"/>
      <c r="D130" s="1545"/>
      <c r="E130" s="1545"/>
      <c r="F130" s="1377">
        <v>2676</v>
      </c>
      <c r="H130" s="694">
        <f>+ROUND(F130/1.27,0)</f>
        <v>2107</v>
      </c>
      <c r="I130" s="694">
        <f>+F130-H130</f>
        <v>569</v>
      </c>
      <c r="J130" s="693" t="s">
        <v>987</v>
      </c>
      <c r="K130" s="693" t="s">
        <v>1489</v>
      </c>
    </row>
    <row r="132" spans="1:11">
      <c r="A132" s="702" t="s">
        <v>1605</v>
      </c>
      <c r="B132" s="1545" t="s">
        <v>1540</v>
      </c>
      <c r="C132" s="1545"/>
      <c r="D132" s="1545"/>
      <c r="E132" s="1545"/>
      <c r="F132" s="1377">
        <v>350000</v>
      </c>
      <c r="G132" s="694"/>
      <c r="H132" s="694">
        <f>+ROUND(F132/1,0)</f>
        <v>350000</v>
      </c>
      <c r="I132" s="694">
        <f>+F132-H132</f>
        <v>0</v>
      </c>
      <c r="J132" s="693" t="s">
        <v>1538</v>
      </c>
      <c r="K132" s="693" t="s">
        <v>1085</v>
      </c>
    </row>
    <row r="133" spans="1:11">
      <c r="F133" s="693"/>
      <c r="G133" s="694"/>
    </row>
    <row r="134" spans="1:11">
      <c r="B134" s="1545"/>
      <c r="C134" s="1545"/>
      <c r="D134" s="1545"/>
      <c r="E134" s="1545"/>
      <c r="G134" s="694"/>
    </row>
  </sheetData>
  <mergeCells count="54">
    <mergeCell ref="B128:E128"/>
    <mergeCell ref="B130:E130"/>
    <mergeCell ref="B132:E132"/>
    <mergeCell ref="B134:E134"/>
    <mergeCell ref="B70:E70"/>
    <mergeCell ref="B120:E120"/>
    <mergeCell ref="B122:E122"/>
    <mergeCell ref="B124:E124"/>
    <mergeCell ref="B126:E126"/>
    <mergeCell ref="B103:E103"/>
    <mergeCell ref="B112:E112"/>
    <mergeCell ref="B114:E114"/>
    <mergeCell ref="B116:E116"/>
    <mergeCell ref="B118:E118"/>
    <mergeCell ref="B76:E76"/>
    <mergeCell ref="B78:E78"/>
    <mergeCell ref="B81:E81"/>
    <mergeCell ref="B84:E84"/>
    <mergeCell ref="B53:E53"/>
    <mergeCell ref="B55:E55"/>
    <mergeCell ref="B60:E60"/>
    <mergeCell ref="B61:E61"/>
    <mergeCell ref="B62:E62"/>
    <mergeCell ref="B14:E14"/>
    <mergeCell ref="B16:E16"/>
    <mergeCell ref="B18:E18"/>
    <mergeCell ref="B20:E20"/>
    <mergeCell ref="B22:E22"/>
    <mergeCell ref="B35:E35"/>
    <mergeCell ref="B57:E57"/>
    <mergeCell ref="B40:E40"/>
    <mergeCell ref="B63:E63"/>
    <mergeCell ref="B49:E49"/>
    <mergeCell ref="B39:E39"/>
    <mergeCell ref="B41:E41"/>
    <mergeCell ref="B42:E42"/>
    <mergeCell ref="B43:E43"/>
    <mergeCell ref="B47:E47"/>
    <mergeCell ref="B110:E110"/>
    <mergeCell ref="B44:E44"/>
    <mergeCell ref="A3:F3"/>
    <mergeCell ref="B27:E27"/>
    <mergeCell ref="B8:E8"/>
    <mergeCell ref="B12:E12"/>
    <mergeCell ref="B10:E10"/>
    <mergeCell ref="B32:E32"/>
    <mergeCell ref="B38:E38"/>
    <mergeCell ref="B24:E24"/>
    <mergeCell ref="B108:E108"/>
    <mergeCell ref="B104:E104"/>
    <mergeCell ref="B106:E106"/>
    <mergeCell ref="B102:E102"/>
    <mergeCell ref="B29:E29"/>
    <mergeCell ref="B30:E3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8" fitToHeight="4" orientation="portrait" horizontalDpi="300" verticalDpi="300" r:id="rId1"/>
  <headerFooter>
    <oddHeader>&amp;C 1. függelék - &amp;P. oldal</oddHeader>
  </headerFooter>
  <rowBreaks count="1" manualBreakCount="1">
    <brk id="72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31">
    <tabColor rgb="FF00B0F0"/>
    <pageSetUpPr fitToPage="1"/>
  </sheetPr>
  <dimension ref="A1:F41"/>
  <sheetViews>
    <sheetView zoomScaleNormal="100" workbookViewId="0"/>
  </sheetViews>
  <sheetFormatPr defaultColWidth="10.28515625" defaultRowHeight="12"/>
  <cols>
    <col min="1" max="1" width="4.7109375" style="169" bestFit="1" customWidth="1"/>
    <col min="2" max="2" width="74.42578125" style="169" customWidth="1"/>
    <col min="3" max="3" width="9" style="169" customWidth="1"/>
    <col min="4" max="6" width="8.28515625" style="169" customWidth="1"/>
    <col min="7" max="16384" width="10.28515625" style="169"/>
  </cols>
  <sheetData>
    <row r="1" spans="1:6" s="168" customFormat="1" ht="15.75">
      <c r="F1" s="179" t="s">
        <v>821</v>
      </c>
    </row>
    <row r="2" spans="1:6" s="168" customFormat="1" ht="15.75">
      <c r="F2" s="179"/>
    </row>
    <row r="3" spans="1:6" s="740" customFormat="1" ht="32.25" customHeight="1">
      <c r="A3" s="1558" t="s">
        <v>1350</v>
      </c>
      <c r="B3" s="1558"/>
      <c r="C3" s="1558"/>
      <c r="D3" s="1558"/>
      <c r="E3" s="1558"/>
      <c r="F3" s="1558"/>
    </row>
    <row r="4" spans="1:6" s="187" customFormat="1">
      <c r="A4" s="737"/>
      <c r="B4" s="737"/>
      <c r="C4" s="737"/>
      <c r="D4" s="737"/>
      <c r="E4" s="737"/>
      <c r="F4" s="737"/>
    </row>
    <row r="5" spans="1:6" ht="12.75" thickBot="1">
      <c r="F5" s="234" t="s">
        <v>458</v>
      </c>
    </row>
    <row r="6" spans="1:6">
      <c r="A6" s="1559" t="s">
        <v>17</v>
      </c>
      <c r="B6" s="1561" t="s">
        <v>7</v>
      </c>
      <c r="C6" s="1563" t="s">
        <v>820</v>
      </c>
      <c r="D6" s="1564"/>
      <c r="E6" s="1564"/>
      <c r="F6" s="1565"/>
    </row>
    <row r="7" spans="1:6" s="738" customFormat="1" ht="12.75" thickBot="1">
      <c r="A7" s="1560"/>
      <c r="B7" s="1562"/>
      <c r="C7" s="979" t="s">
        <v>460</v>
      </c>
      <c r="D7" s="720" t="s">
        <v>461</v>
      </c>
      <c r="E7" s="720" t="s">
        <v>462</v>
      </c>
      <c r="F7" s="721" t="s">
        <v>463</v>
      </c>
    </row>
    <row r="8" spans="1:6" s="738" customFormat="1" ht="12.75" thickBot="1">
      <c r="A8" s="232">
        <v>1</v>
      </c>
      <c r="B8" s="231">
        <v>2</v>
      </c>
      <c r="C8" s="232">
        <v>3</v>
      </c>
      <c r="D8" s="235">
        <v>4</v>
      </c>
      <c r="E8" s="235">
        <v>5</v>
      </c>
      <c r="F8" s="231">
        <v>6</v>
      </c>
    </row>
    <row r="9" spans="1:6" s="738" customFormat="1">
      <c r="A9" s="722" t="s">
        <v>4</v>
      </c>
      <c r="B9" s="237" t="s">
        <v>977</v>
      </c>
      <c r="C9" s="723">
        <f>+'5.mell_adósság2019'!C8</f>
        <v>342120</v>
      </c>
      <c r="D9" s="238">
        <f>+'5.mell_adósság2019'!D8</f>
        <v>356831</v>
      </c>
      <c r="E9" s="238">
        <f>+'5.mell_adósság2019'!E8</f>
        <v>371461</v>
      </c>
      <c r="F9" s="724">
        <f>+'5.mell_adósság2019'!F8</f>
        <v>385948</v>
      </c>
    </row>
    <row r="10" spans="1:6" s="738" customFormat="1" ht="24">
      <c r="A10" s="725" t="s">
        <v>5</v>
      </c>
      <c r="B10" s="240" t="s">
        <v>851</v>
      </c>
      <c r="C10" s="723">
        <f>+'5.mell_adósság2019'!C9</f>
        <v>236</v>
      </c>
      <c r="D10" s="238">
        <f>+'5.mell_adósság2019'!D9</f>
        <v>236</v>
      </c>
      <c r="E10" s="238">
        <f>+'5.mell_adósság2019'!E9</f>
        <v>236</v>
      </c>
      <c r="F10" s="724">
        <f>+'5.mell_adósság2019'!F9</f>
        <v>236</v>
      </c>
    </row>
    <row r="11" spans="1:6" s="738" customFormat="1">
      <c r="A11" s="725" t="s">
        <v>6</v>
      </c>
      <c r="B11" s="240" t="s">
        <v>852</v>
      </c>
      <c r="C11" s="723">
        <f>+'5.mell_adósság2019'!C10</f>
        <v>0</v>
      </c>
      <c r="D11" s="238">
        <f>+'5.mell_adósság2019'!D10</f>
        <v>0</v>
      </c>
      <c r="E11" s="238">
        <f>+'5.mell_adósság2019'!E10</f>
        <v>0</v>
      </c>
      <c r="F11" s="724">
        <f>+'5.mell_adósság2019'!F10</f>
        <v>0</v>
      </c>
    </row>
    <row r="12" spans="1:6" s="738" customFormat="1" ht="24">
      <c r="A12" s="725" t="s">
        <v>3</v>
      </c>
      <c r="B12" s="240" t="s">
        <v>853</v>
      </c>
      <c r="C12" s="723">
        <f>+'5.mell_adósság2019'!C11</f>
        <v>10350</v>
      </c>
      <c r="D12" s="238">
        <f>+'5.mell_adósság2019'!D11</f>
        <v>350</v>
      </c>
      <c r="E12" s="238">
        <f>+'5.mell_adósság2019'!E11</f>
        <v>350</v>
      </c>
      <c r="F12" s="724">
        <f>+'5.mell_adósság2019'!F11</f>
        <v>350</v>
      </c>
    </row>
    <row r="13" spans="1:6" s="738" customFormat="1" ht="12.75">
      <c r="A13" s="725" t="s">
        <v>16</v>
      </c>
      <c r="B13" s="719" t="s">
        <v>854</v>
      </c>
      <c r="C13" s="723">
        <f>+'5.mell_adósság2019'!C12</f>
        <v>15370</v>
      </c>
      <c r="D13" s="238">
        <f>+'5.mell_adósság2019'!D12</f>
        <v>7800</v>
      </c>
      <c r="E13" s="238">
        <f>+'5.mell_adósság2019'!E12</f>
        <v>7800</v>
      </c>
      <c r="F13" s="724">
        <f>+'5.mell_adósság2019'!F12</f>
        <v>7800</v>
      </c>
    </row>
    <row r="14" spans="1:6" s="738" customFormat="1" ht="12.75" thickBot="1">
      <c r="A14" s="725" t="s">
        <v>15</v>
      </c>
      <c r="B14" s="243" t="s">
        <v>978</v>
      </c>
      <c r="C14" s="723">
        <f>+'5.mell_adósság2019'!C13</f>
        <v>0</v>
      </c>
      <c r="D14" s="238">
        <f>+'5.mell_adósság2019'!D13</f>
        <v>0</v>
      </c>
      <c r="E14" s="238">
        <f>+'5.mell_adósság2019'!E13</f>
        <v>0</v>
      </c>
      <c r="F14" s="724">
        <f>+'5.mell_adósság2019'!F13</f>
        <v>0</v>
      </c>
    </row>
    <row r="15" spans="1:6" s="739" customFormat="1" ht="12.75" thickBot="1">
      <c r="A15" s="726" t="s">
        <v>14</v>
      </c>
      <c r="B15" s="246" t="s">
        <v>858</v>
      </c>
      <c r="C15" s="727">
        <f>+C9+C10+C11+C12+C13+C14</f>
        <v>368076</v>
      </c>
      <c r="D15" s="248">
        <f t="shared" ref="D15:F15" si="0">+D9+D10+D11+D12+D13+D14</f>
        <v>365217</v>
      </c>
      <c r="E15" s="248">
        <f t="shared" si="0"/>
        <v>379847</v>
      </c>
      <c r="F15" s="728">
        <f t="shared" si="0"/>
        <v>394334</v>
      </c>
    </row>
    <row r="16" spans="1:6" s="739" customFormat="1" ht="12.75" thickBot="1">
      <c r="A16" s="726" t="s">
        <v>13</v>
      </c>
      <c r="B16" s="246" t="s">
        <v>857</v>
      </c>
      <c r="C16" s="727">
        <f>+ROUNDDOWN(C15*0.5,0)</f>
        <v>184038</v>
      </c>
      <c r="D16" s="248">
        <f t="shared" ref="D16:F16" si="1">+ROUNDDOWN(D15*0.5,0)</f>
        <v>182608</v>
      </c>
      <c r="E16" s="248">
        <f t="shared" si="1"/>
        <v>189923</v>
      </c>
      <c r="F16" s="728">
        <f t="shared" si="1"/>
        <v>197167</v>
      </c>
    </row>
    <row r="17" spans="1:6" s="739" customFormat="1" ht="12.75" thickBot="1">
      <c r="A17" s="726" t="s">
        <v>12</v>
      </c>
      <c r="B17" s="246" t="s">
        <v>866</v>
      </c>
      <c r="C17" s="727">
        <f>+C18+C19+C20+C21+C22+C23+C24+C25+C26</f>
        <v>27105</v>
      </c>
      <c r="D17" s="248">
        <f t="shared" ref="D17:F17" si="2">+D18+D19+D20+D21+D22+D23+D24+D25+D26</f>
        <v>28307</v>
      </c>
      <c r="E17" s="248">
        <f t="shared" si="2"/>
        <v>28308</v>
      </c>
      <c r="F17" s="728">
        <f t="shared" si="2"/>
        <v>2000</v>
      </c>
    </row>
    <row r="18" spans="1:6" s="738" customFormat="1">
      <c r="A18" s="722" t="s">
        <v>11</v>
      </c>
      <c r="B18" s="237" t="s">
        <v>467</v>
      </c>
      <c r="C18" s="729">
        <f>+'5.mell_adósság2019'!C17</f>
        <v>0</v>
      </c>
      <c r="D18" s="241">
        <f>+'5.mell_adósság2019'!D17</f>
        <v>0</v>
      </c>
      <c r="E18" s="241">
        <f>+'5.mell_adósság2019'!E17</f>
        <v>0</v>
      </c>
      <c r="F18" s="730">
        <f>+'5.mell_adósság2019'!F17</f>
        <v>0</v>
      </c>
    </row>
    <row r="19" spans="1:6" s="738" customFormat="1">
      <c r="A19" s="725" t="s">
        <v>10</v>
      </c>
      <c r="B19" s="240" t="s">
        <v>468</v>
      </c>
      <c r="C19" s="729">
        <f>+'5.mell_adósság2019'!C18</f>
        <v>0</v>
      </c>
      <c r="D19" s="241">
        <f>+'5.mell_adósság2019'!D18</f>
        <v>0</v>
      </c>
      <c r="E19" s="241">
        <f>+'5.mell_adósság2019'!E18</f>
        <v>0</v>
      </c>
      <c r="F19" s="730">
        <f>+'5.mell_adósság2019'!F18</f>
        <v>0</v>
      </c>
    </row>
    <row r="20" spans="1:6" s="738" customFormat="1">
      <c r="A20" s="725" t="s">
        <v>9</v>
      </c>
      <c r="B20" s="240" t="s">
        <v>469</v>
      </c>
      <c r="C20" s="729">
        <f>+'5.mell_adósság2019'!C19</f>
        <v>0</v>
      </c>
      <c r="D20" s="241">
        <f>+'5.mell_adósság2019'!D19</f>
        <v>0</v>
      </c>
      <c r="E20" s="241">
        <f>+'5.mell_adósság2019'!E19</f>
        <v>0</v>
      </c>
      <c r="F20" s="730">
        <f>+'5.mell_adósság2019'!F19</f>
        <v>0</v>
      </c>
    </row>
    <row r="21" spans="1:6" s="738" customFormat="1">
      <c r="A21" s="725" t="s">
        <v>45</v>
      </c>
      <c r="B21" s="240" t="s">
        <v>470</v>
      </c>
      <c r="C21" s="729">
        <f>+'5.mell_adósság2019'!C20</f>
        <v>0</v>
      </c>
      <c r="D21" s="241">
        <f>+'5.mell_adósság2019'!D20</f>
        <v>0</v>
      </c>
      <c r="E21" s="241">
        <f>+'5.mell_adósság2019'!E20</f>
        <v>0</v>
      </c>
      <c r="F21" s="730">
        <f>+'5.mell_adósság2019'!F20</f>
        <v>0</v>
      </c>
    </row>
    <row r="22" spans="1:6" s="738" customFormat="1">
      <c r="A22" s="725" t="s">
        <v>44</v>
      </c>
      <c r="B22" s="240" t="s">
        <v>471</v>
      </c>
      <c r="C22" s="729">
        <f>+'5.mell_adósság2019'!C21</f>
        <v>0</v>
      </c>
      <c r="D22" s="241">
        <f>+'5.mell_adósság2019'!D21</f>
        <v>0</v>
      </c>
      <c r="E22" s="241">
        <f>+'5.mell_adósság2019'!E21</f>
        <v>0</v>
      </c>
      <c r="F22" s="730">
        <f>+'5.mell_adósság2019'!F21</f>
        <v>0</v>
      </c>
    </row>
    <row r="23" spans="1:6" s="738" customFormat="1" ht="24">
      <c r="A23" s="725" t="s">
        <v>43</v>
      </c>
      <c r="B23" s="240" t="s">
        <v>860</v>
      </c>
      <c r="C23" s="729">
        <f>+'5.mell_adósság2019'!C22</f>
        <v>0</v>
      </c>
      <c r="D23" s="241">
        <f>+'5.mell_adósság2019'!D22</f>
        <v>0</v>
      </c>
      <c r="E23" s="241">
        <f>+'5.mell_adósság2019'!E22</f>
        <v>0</v>
      </c>
      <c r="F23" s="730">
        <f>+'5.mell_adósság2019'!F22</f>
        <v>0</v>
      </c>
    </row>
    <row r="24" spans="1:6" s="738" customFormat="1">
      <c r="A24" s="725" t="s">
        <v>40</v>
      </c>
      <c r="B24" s="240" t="s">
        <v>859</v>
      </c>
      <c r="C24" s="729">
        <f>+'5.mell_adósság2019'!C23</f>
        <v>27105</v>
      </c>
      <c r="D24" s="241">
        <f>+'5.mell_adósság2019'!D23</f>
        <v>28307</v>
      </c>
      <c r="E24" s="241">
        <f>+'5.mell_adósság2019'!E23</f>
        <v>28308</v>
      </c>
      <c r="F24" s="730">
        <f>+'5.mell_adósság2019'!F23</f>
        <v>2000</v>
      </c>
    </row>
    <row r="25" spans="1:6" s="738" customFormat="1" ht="24">
      <c r="A25" s="725" t="s">
        <v>39</v>
      </c>
      <c r="B25" s="250" t="s">
        <v>861</v>
      </c>
      <c r="C25" s="729">
        <f>+'5.mell_adósság2019'!C24</f>
        <v>0</v>
      </c>
      <c r="D25" s="241">
        <f>+'5.mell_adósság2019'!D24</f>
        <v>0</v>
      </c>
      <c r="E25" s="241">
        <f>+'5.mell_adósság2019'!E24</f>
        <v>0</v>
      </c>
      <c r="F25" s="730">
        <f>+'5.mell_adósság2019'!F24</f>
        <v>0</v>
      </c>
    </row>
    <row r="26" spans="1:6" s="738" customFormat="1" ht="12.75" thickBot="1">
      <c r="A26" s="731" t="s">
        <v>38</v>
      </c>
      <c r="B26" s="250" t="s">
        <v>979</v>
      </c>
      <c r="C26" s="729">
        <f>+'5.mell_adósság2019'!C25</f>
        <v>0</v>
      </c>
      <c r="D26" s="241">
        <f>+'5.mell_adósság2019'!D25</f>
        <v>0</v>
      </c>
      <c r="E26" s="241">
        <f>+'5.mell_adósság2019'!E25</f>
        <v>0</v>
      </c>
      <c r="F26" s="730">
        <f>+'5.mell_adósság2019'!F25</f>
        <v>0</v>
      </c>
    </row>
    <row r="27" spans="1:6" s="739" customFormat="1" ht="15" customHeight="1" thickBot="1">
      <c r="A27" s="726" t="s">
        <v>36</v>
      </c>
      <c r="B27" s="246" t="s">
        <v>867</v>
      </c>
      <c r="C27" s="727">
        <f>+C28+C29+C30+C31+C32+C33+C34+C35+C36</f>
        <v>0</v>
      </c>
      <c r="D27" s="248">
        <f t="shared" ref="D27:F27" si="3">+D28+D29+D30+D31+D32+D33+D34+D35+D36</f>
        <v>9999</v>
      </c>
      <c r="E27" s="248">
        <f t="shared" si="3"/>
        <v>0</v>
      </c>
      <c r="F27" s="728">
        <f t="shared" si="3"/>
        <v>0</v>
      </c>
    </row>
    <row r="28" spans="1:6" s="738" customFormat="1">
      <c r="A28" s="722" t="s">
        <v>35</v>
      </c>
      <c r="B28" s="237" t="s">
        <v>467</v>
      </c>
      <c r="C28" s="723">
        <f>+'5.mell_adósság2019'!C27</f>
        <v>0</v>
      </c>
      <c r="D28" s="238">
        <f>+'5.mell_adósság2019'!D27</f>
        <v>9999</v>
      </c>
      <c r="E28" s="238">
        <f>+'5.mell_adósság2019'!E27</f>
        <v>0</v>
      </c>
      <c r="F28" s="724">
        <f>+'5.mell_adósság2019'!F27</f>
        <v>0</v>
      </c>
    </row>
    <row r="29" spans="1:6">
      <c r="A29" s="725" t="s">
        <v>34</v>
      </c>
      <c r="B29" s="240" t="s">
        <v>468</v>
      </c>
      <c r="C29" s="729">
        <f>+'5.mell_adósság2019'!C28</f>
        <v>0</v>
      </c>
      <c r="D29" s="241">
        <f>+'5.mell_adósság2019'!D28</f>
        <v>0</v>
      </c>
      <c r="E29" s="241">
        <f>+'5.mell_adósság2019'!E28</f>
        <v>0</v>
      </c>
      <c r="F29" s="730">
        <f>+'5.mell_adósság2019'!F28</f>
        <v>0</v>
      </c>
    </row>
    <row r="30" spans="1:6">
      <c r="A30" s="725" t="s">
        <v>33</v>
      </c>
      <c r="B30" s="240" t="s">
        <v>469</v>
      </c>
      <c r="C30" s="729">
        <f>+'5.mell_adósság2019'!C29</f>
        <v>0</v>
      </c>
      <c r="D30" s="241">
        <f>+'5.mell_adósság2019'!D29</f>
        <v>0</v>
      </c>
      <c r="E30" s="241">
        <f>+'5.mell_adósság2019'!E29</f>
        <v>0</v>
      </c>
      <c r="F30" s="730">
        <f>+'5.mell_adósság2019'!F29</f>
        <v>0</v>
      </c>
    </row>
    <row r="31" spans="1:6" s="738" customFormat="1">
      <c r="A31" s="725" t="s">
        <v>32</v>
      </c>
      <c r="B31" s="240" t="s">
        <v>470</v>
      </c>
      <c r="C31" s="729">
        <f>+'5.mell_adósság2019'!C30</f>
        <v>0</v>
      </c>
      <c r="D31" s="241">
        <f>+'5.mell_adósság2019'!D30</f>
        <v>0</v>
      </c>
      <c r="E31" s="241">
        <f>+'5.mell_adósság2019'!E30</f>
        <v>0</v>
      </c>
      <c r="F31" s="730">
        <f>+'5.mell_adósság2019'!F30</f>
        <v>0</v>
      </c>
    </row>
    <row r="32" spans="1:6">
      <c r="A32" s="725" t="s">
        <v>472</v>
      </c>
      <c r="B32" s="240" t="s">
        <v>471</v>
      </c>
      <c r="C32" s="729">
        <f>+'5.mell_adósság2019'!C31</f>
        <v>0</v>
      </c>
      <c r="D32" s="241">
        <f>+'5.mell_adósság2019'!D31</f>
        <v>0</v>
      </c>
      <c r="E32" s="241">
        <f>+'5.mell_adósság2019'!E31</f>
        <v>0</v>
      </c>
      <c r="F32" s="730">
        <f>+'5.mell_adósság2019'!F31</f>
        <v>0</v>
      </c>
    </row>
    <row r="33" spans="1:6" ht="24">
      <c r="A33" s="725" t="s">
        <v>473</v>
      </c>
      <c r="B33" s="240" t="s">
        <v>860</v>
      </c>
      <c r="C33" s="729">
        <f>+'5.mell_adósság2019'!C32</f>
        <v>0</v>
      </c>
      <c r="D33" s="241">
        <f>+'5.mell_adósság2019'!D32</f>
        <v>0</v>
      </c>
      <c r="E33" s="241">
        <f>+'5.mell_adósság2019'!E32</f>
        <v>0</v>
      </c>
      <c r="F33" s="730">
        <f>+'5.mell_adósság2019'!F32</f>
        <v>0</v>
      </c>
    </row>
    <row r="34" spans="1:6">
      <c r="A34" s="725" t="s">
        <v>474</v>
      </c>
      <c r="B34" s="240" t="s">
        <v>859</v>
      </c>
      <c r="C34" s="729">
        <f>+'5.mell_adósság2019'!C33</f>
        <v>0</v>
      </c>
      <c r="D34" s="241">
        <f>+'5.mell_adósság2019'!D33</f>
        <v>0</v>
      </c>
      <c r="E34" s="241">
        <f>+'5.mell_adósság2019'!E33</f>
        <v>0</v>
      </c>
      <c r="F34" s="730">
        <f>+'5.mell_adósság2019'!F33</f>
        <v>0</v>
      </c>
    </row>
    <row r="35" spans="1:6" ht="24">
      <c r="A35" s="725" t="s">
        <v>475</v>
      </c>
      <c r="B35" s="250" t="s">
        <v>861</v>
      </c>
      <c r="C35" s="729">
        <f>+'5.mell_adósság2019'!C34</f>
        <v>0</v>
      </c>
      <c r="D35" s="241">
        <f>+'5.mell_adósság2019'!D34</f>
        <v>0</v>
      </c>
      <c r="E35" s="241">
        <f>+'5.mell_adósság2019'!E34</f>
        <v>0</v>
      </c>
      <c r="F35" s="730">
        <f>+'5.mell_adósság2019'!F34</f>
        <v>0</v>
      </c>
    </row>
    <row r="36" spans="1:6" ht="12.75" thickBot="1">
      <c r="A36" s="731" t="s">
        <v>488</v>
      </c>
      <c r="B36" s="250" t="s">
        <v>979</v>
      </c>
      <c r="C36" s="733">
        <f>+'5.mell_adósság2019'!C35</f>
        <v>0</v>
      </c>
      <c r="D36" s="244">
        <f>+'5.mell_adósság2019'!D35</f>
        <v>0</v>
      </c>
      <c r="E36" s="244">
        <f>+'5.mell_adósság2019'!E35</f>
        <v>0</v>
      </c>
      <c r="F36" s="732">
        <f>+'5.mell_adósság2019'!F35</f>
        <v>0</v>
      </c>
    </row>
    <row r="37" spans="1:6" s="187" customFormat="1" ht="12.75" thickBot="1">
      <c r="A37" s="726" t="s">
        <v>489</v>
      </c>
      <c r="B37" s="246" t="s">
        <v>864</v>
      </c>
      <c r="C37" s="727">
        <f>+C17+C27</f>
        <v>27105</v>
      </c>
      <c r="D37" s="248">
        <f t="shared" ref="D37:F37" si="4">+D17+D27</f>
        <v>38306</v>
      </c>
      <c r="E37" s="248">
        <f t="shared" si="4"/>
        <v>28308</v>
      </c>
      <c r="F37" s="728">
        <f t="shared" si="4"/>
        <v>2000</v>
      </c>
    </row>
    <row r="38" spans="1:6" s="187" customFormat="1" ht="12.75" thickBot="1">
      <c r="A38" s="734" t="s">
        <v>490</v>
      </c>
      <c r="B38" s="251" t="s">
        <v>865</v>
      </c>
      <c r="C38" s="735">
        <f>+C16-C37</f>
        <v>156933</v>
      </c>
      <c r="D38" s="252">
        <f t="shared" ref="D38:F38" si="5">+D16-D37</f>
        <v>144302</v>
      </c>
      <c r="E38" s="252">
        <f t="shared" si="5"/>
        <v>161615</v>
      </c>
      <c r="F38" s="736">
        <f t="shared" si="5"/>
        <v>195167</v>
      </c>
    </row>
    <row r="40" spans="1:6" hidden="1">
      <c r="C40" s="257">
        <f>+'5.mell_adósság2019'!C37</f>
        <v>156933</v>
      </c>
      <c r="D40" s="257">
        <f>+'5.mell_adósság2019'!D37</f>
        <v>144302</v>
      </c>
      <c r="E40" s="257">
        <f>+'5.mell_adósság2019'!E37</f>
        <v>161615</v>
      </c>
      <c r="F40" s="257">
        <f>+'5.mell_adósság2019'!F37</f>
        <v>195167</v>
      </c>
    </row>
    <row r="41" spans="1:6" hidden="1">
      <c r="C41" s="257">
        <f>+C38-C40</f>
        <v>0</v>
      </c>
      <c r="D41" s="257">
        <f t="shared" ref="D41:F41" si="6">+D38-D40</f>
        <v>0</v>
      </c>
      <c r="E41" s="257">
        <f t="shared" si="6"/>
        <v>0</v>
      </c>
      <c r="F41" s="257">
        <f t="shared" si="6"/>
        <v>0</v>
      </c>
    </row>
  </sheetData>
  <mergeCells count="4">
    <mergeCell ref="A3:F3"/>
    <mergeCell ref="A6:A7"/>
    <mergeCell ref="B6:B7"/>
    <mergeCell ref="C6:F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>
    <tabColor rgb="FF00B0F0"/>
  </sheetPr>
  <dimension ref="A1:AA242"/>
  <sheetViews>
    <sheetView zoomScaleNormal="100" workbookViewId="0"/>
  </sheetViews>
  <sheetFormatPr defaultRowHeight="12"/>
  <cols>
    <col min="1" max="1" width="6.5703125" style="4" customWidth="1"/>
    <col min="2" max="2" width="109.5703125" style="4" bestFit="1" customWidth="1"/>
    <col min="3" max="6" width="9.28515625" style="4" customWidth="1"/>
    <col min="7" max="7" width="10.5703125" style="4" hidden="1" customWidth="1"/>
    <col min="8" max="8" width="9.140625" style="4" hidden="1" customWidth="1"/>
    <col min="9" max="16384" width="9.140625" style="4"/>
  </cols>
  <sheetData>
    <row r="1" spans="1:8" s="63" customFormat="1" ht="15.75">
      <c r="F1" s="64" t="s">
        <v>47</v>
      </c>
    </row>
    <row r="2" spans="1:8" s="63" customFormat="1" ht="15.75"/>
    <row r="3" spans="1:8" s="65" customFormat="1" ht="15.75">
      <c r="A3" s="1433" t="s">
        <v>331</v>
      </c>
      <c r="B3" s="1433"/>
      <c r="C3" s="1433"/>
      <c r="D3" s="1433"/>
      <c r="E3" s="1433"/>
      <c r="F3" s="1433"/>
    </row>
    <row r="4" spans="1:8" s="65" customFormat="1" ht="15.75">
      <c r="A4" s="1433" t="s">
        <v>1316</v>
      </c>
      <c r="B4" s="1433"/>
      <c r="C4" s="1433"/>
      <c r="D4" s="1433"/>
      <c r="E4" s="1433"/>
      <c r="F4" s="1433"/>
    </row>
    <row r="5" spans="1:8" s="63" customFormat="1" ht="15.75"/>
    <row r="6" spans="1:8" s="65" customFormat="1" ht="15.75">
      <c r="A6" s="1433" t="s">
        <v>48</v>
      </c>
      <c r="B6" s="1433"/>
      <c r="C6" s="1433"/>
      <c r="D6" s="1433"/>
      <c r="E6" s="1433"/>
      <c r="F6" s="1433"/>
    </row>
    <row r="7" spans="1:8" s="46" customFormat="1" ht="12.75" thickBot="1">
      <c r="A7" s="48" t="s">
        <v>280</v>
      </c>
      <c r="F7" s="47" t="s">
        <v>281</v>
      </c>
    </row>
    <row r="8" spans="1:8" s="9" customFormat="1" ht="54" customHeight="1" thickBot="1">
      <c r="A8" s="95" t="s">
        <v>17</v>
      </c>
      <c r="B8" s="109" t="s">
        <v>328</v>
      </c>
      <c r="C8" s="5" t="s">
        <v>1317</v>
      </c>
      <c r="D8" s="6" t="s">
        <v>51</v>
      </c>
      <c r="E8" s="7" t="s">
        <v>52</v>
      </c>
      <c r="F8" s="8" t="s">
        <v>53</v>
      </c>
    </row>
    <row r="9" spans="1:8" s="3" customFormat="1" ht="12.75" thickBot="1">
      <c r="A9" s="99" t="s">
        <v>253</v>
      </c>
      <c r="B9" s="110" t="s">
        <v>254</v>
      </c>
      <c r="C9" s="1435" t="s">
        <v>255</v>
      </c>
      <c r="D9" s="1436"/>
      <c r="E9" s="1436"/>
      <c r="F9" s="1437"/>
    </row>
    <row r="10" spans="1:8" s="3" customFormat="1" ht="12.75" thickBot="1">
      <c r="A10" s="111" t="s">
        <v>4</v>
      </c>
      <c r="B10" s="79" t="s">
        <v>297</v>
      </c>
      <c r="C10" s="43">
        <f>+C11+C25+C32+C44</f>
        <v>1485199</v>
      </c>
      <c r="D10" s="38">
        <f>+D11+D25+D32+D44</f>
        <v>1440539</v>
      </c>
      <c r="E10" s="39">
        <f>+E11+E25+E32+E44</f>
        <v>44660</v>
      </c>
      <c r="F10" s="40">
        <f>+F11+F25+F32+F44</f>
        <v>0</v>
      </c>
      <c r="G10" s="741">
        <f>+C10/$C$102</f>
        <v>0.32124781456383528</v>
      </c>
      <c r="H10" s="3">
        <f>+C10-D10-E10-F10</f>
        <v>0</v>
      </c>
    </row>
    <row r="11" spans="1:8" s="3" customFormat="1" ht="12.75" customHeight="1" thickBot="1">
      <c r="A11" s="99" t="s">
        <v>5</v>
      </c>
      <c r="B11" s="80" t="s">
        <v>298</v>
      </c>
      <c r="C11" s="44">
        <f>+C12+C19+C20+C21+C22+C23</f>
        <v>962806</v>
      </c>
      <c r="D11" s="33">
        <f>+D12+D19+D20+D21+D22+D23</f>
        <v>959566</v>
      </c>
      <c r="E11" s="34">
        <f>+E12+E19+E20+E21+E22+E23</f>
        <v>3240</v>
      </c>
      <c r="F11" s="35">
        <f>+F12+F19+F20+F21+F22+F23</f>
        <v>0</v>
      </c>
      <c r="G11" s="741">
        <f>+C11/$C$102</f>
        <v>0.2082544651248405</v>
      </c>
      <c r="H11" s="3">
        <f t="shared" ref="H11:H74" si="0">+C11-D11-E11-F11</f>
        <v>0</v>
      </c>
    </row>
    <row r="12" spans="1:8" s="3" customFormat="1">
      <c r="A12" s="100" t="s">
        <v>54</v>
      </c>
      <c r="B12" s="81" t="s">
        <v>299</v>
      </c>
      <c r="C12" s="36">
        <f>+C13+C14+C15+C16+C17+C18</f>
        <v>888836</v>
      </c>
      <c r="D12" s="19">
        <f>+D13+D14+D15+D16+D17+D18</f>
        <v>888836</v>
      </c>
      <c r="E12" s="10">
        <f>+E13+E14+E15+E16+E17+E18</f>
        <v>0</v>
      </c>
      <c r="F12" s="15">
        <f>+F13+F14+F15+F16+F17+F18</f>
        <v>0</v>
      </c>
      <c r="H12" s="4">
        <f t="shared" si="0"/>
        <v>0</v>
      </c>
    </row>
    <row r="13" spans="1:8" s="14" customFormat="1">
      <c r="A13" s="102" t="s">
        <v>190</v>
      </c>
      <c r="B13" s="82" t="s">
        <v>93</v>
      </c>
      <c r="C13" s="24">
        <f>+D13+E13+F13</f>
        <v>221900</v>
      </c>
      <c r="D13" s="20">
        <f>+'1.1.mell._ÖNK_Mérleg2019'!D13+'1.2.mell._HKÖH_Mérleg2019'!D13+'1.3.mell._HVÓBKI_Mérleg2019'!D13+'1.4.mell._HKK_Mérleg2019'!D13+'1.5._mell._MŐSZ_Mérleg2019'!D13+'1.6._mell._HVGYKCSSZ_Mérleg2019'!D13</f>
        <v>221900</v>
      </c>
      <c r="E13" s="13">
        <f>+'1.1.mell._ÖNK_Mérleg2019'!E13+'1.2.mell._HKÖH_Mérleg2019'!E13+'1.3.mell._HVÓBKI_Mérleg2019'!E13+'1.4.mell._HKK_Mérleg2019'!E13+'1.5._mell._MŐSZ_Mérleg2019'!E13+'1.6._mell._HVGYKCSSZ_Mérleg2019'!E13</f>
        <v>0</v>
      </c>
      <c r="F13" s="16">
        <f>+'1.1.mell._ÖNK_Mérleg2019'!F13+'1.2.mell._HKÖH_Mérleg2019'!F13+'1.3.mell._HVÓBKI_Mérleg2019'!F13+'1.4.mell._HKK_Mérleg2019'!F13+'1.5._mell._MŐSZ_Mérleg2019'!F13+'1.6._mell._HVGYKCSSZ_Mérleg2019'!F13</f>
        <v>0</v>
      </c>
      <c r="H13" s="14">
        <f t="shared" si="0"/>
        <v>0</v>
      </c>
    </row>
    <row r="14" spans="1:8" s="14" customFormat="1">
      <c r="A14" s="102" t="s">
        <v>191</v>
      </c>
      <c r="B14" s="82" t="s">
        <v>94</v>
      </c>
      <c r="C14" s="24">
        <f t="shared" ref="C14:C24" si="1">+D14+E14+F14</f>
        <v>232153</v>
      </c>
      <c r="D14" s="20">
        <f>+'1.1.mell._ÖNK_Mérleg2019'!D14+'1.2.mell._HKÖH_Mérleg2019'!D14+'1.3.mell._HVÓBKI_Mérleg2019'!D14+'1.4.mell._HKK_Mérleg2019'!D14+'1.5._mell._MŐSZ_Mérleg2019'!D14+'1.6._mell._HVGYKCSSZ_Mérleg2019'!D14</f>
        <v>232153</v>
      </c>
      <c r="E14" s="13">
        <f>+'1.1.mell._ÖNK_Mérleg2019'!E14+'1.2.mell._HKÖH_Mérleg2019'!E14+'1.3.mell._HVÓBKI_Mérleg2019'!E14+'1.4.mell._HKK_Mérleg2019'!E14+'1.5._mell._MŐSZ_Mérleg2019'!E14+'1.6._mell._HVGYKCSSZ_Mérleg2019'!E14</f>
        <v>0</v>
      </c>
      <c r="F14" s="16">
        <f>+'1.1.mell._ÖNK_Mérleg2019'!F14+'1.2.mell._HKÖH_Mérleg2019'!F14+'1.3.mell._HVÓBKI_Mérleg2019'!F14+'1.4.mell._HKK_Mérleg2019'!F14+'1.5._mell._MŐSZ_Mérleg2019'!F14+'1.6._mell._HVGYKCSSZ_Mérleg2019'!F14</f>
        <v>0</v>
      </c>
      <c r="H14" s="14">
        <f t="shared" si="0"/>
        <v>0</v>
      </c>
    </row>
    <row r="15" spans="1:8" s="14" customFormat="1">
      <c r="A15" s="102" t="s">
        <v>192</v>
      </c>
      <c r="B15" s="82" t="s">
        <v>95</v>
      </c>
      <c r="C15" s="24">
        <f t="shared" si="1"/>
        <v>280259</v>
      </c>
      <c r="D15" s="20">
        <f>+'1.1.mell._ÖNK_Mérleg2019'!D15+'1.2.mell._HKÖH_Mérleg2019'!D15+'1.3.mell._HVÓBKI_Mérleg2019'!D15+'1.4.mell._HKK_Mérleg2019'!D15+'1.5._mell._MŐSZ_Mérleg2019'!D15+'1.6._mell._HVGYKCSSZ_Mérleg2019'!D15</f>
        <v>280259</v>
      </c>
      <c r="E15" s="13">
        <f>+'1.1.mell._ÖNK_Mérleg2019'!E15+'1.2.mell._HKÖH_Mérleg2019'!E15+'1.3.mell._HVÓBKI_Mérleg2019'!E15+'1.4.mell._HKK_Mérleg2019'!E15+'1.5._mell._MŐSZ_Mérleg2019'!E15+'1.6._mell._HVGYKCSSZ_Mérleg2019'!E15</f>
        <v>0</v>
      </c>
      <c r="F15" s="16">
        <f>+'1.1.mell._ÖNK_Mérleg2019'!F15+'1.2.mell._HKÖH_Mérleg2019'!F15+'1.3.mell._HVÓBKI_Mérleg2019'!F15+'1.4.mell._HKK_Mérleg2019'!F15+'1.5._mell._MŐSZ_Mérleg2019'!F15+'1.6._mell._HVGYKCSSZ_Mérleg2019'!F15</f>
        <v>0</v>
      </c>
      <c r="H15" s="14">
        <f t="shared" si="0"/>
        <v>0</v>
      </c>
    </row>
    <row r="16" spans="1:8" s="14" customFormat="1">
      <c r="A16" s="102" t="s">
        <v>193</v>
      </c>
      <c r="B16" s="82" t="s">
        <v>96</v>
      </c>
      <c r="C16" s="24">
        <f t="shared" si="1"/>
        <v>19679</v>
      </c>
      <c r="D16" s="20">
        <f>+'1.1.mell._ÖNK_Mérleg2019'!D16+'1.2.mell._HKÖH_Mérleg2019'!D16+'1.3.mell._HVÓBKI_Mérleg2019'!D16+'1.4.mell._HKK_Mérleg2019'!D16+'1.5._mell._MŐSZ_Mérleg2019'!D16+'1.6._mell._HVGYKCSSZ_Mérleg2019'!D16</f>
        <v>19679</v>
      </c>
      <c r="E16" s="13">
        <f>+'1.1.mell._ÖNK_Mérleg2019'!E16+'1.2.mell._HKÖH_Mérleg2019'!E16+'1.3.mell._HVÓBKI_Mérleg2019'!E16+'1.4.mell._HKK_Mérleg2019'!E16+'1.5._mell._MŐSZ_Mérleg2019'!E16+'1.6._mell._HVGYKCSSZ_Mérleg2019'!E16</f>
        <v>0</v>
      </c>
      <c r="F16" s="16">
        <f>+'1.1.mell._ÖNK_Mérleg2019'!F16+'1.2.mell._HKÖH_Mérleg2019'!F16+'1.3.mell._HVÓBKI_Mérleg2019'!F16+'1.4.mell._HKK_Mérleg2019'!F16+'1.5._mell._MŐSZ_Mérleg2019'!F16+'1.6._mell._HVGYKCSSZ_Mérleg2019'!F16</f>
        <v>0</v>
      </c>
      <c r="H16" s="14">
        <f t="shared" si="0"/>
        <v>0</v>
      </c>
    </row>
    <row r="17" spans="1:8" s="140" customFormat="1">
      <c r="A17" s="102" t="s">
        <v>194</v>
      </c>
      <c r="B17" s="82" t="s">
        <v>905</v>
      </c>
      <c r="C17" s="134">
        <f t="shared" si="1"/>
        <v>134845</v>
      </c>
      <c r="D17" s="769">
        <f>+'1.1.mell._ÖNK_Mérleg2019'!D17+'1.2.mell._HKÖH_Mérleg2019'!D17+'1.3.mell._HVÓBKI_Mérleg2019'!D17+'1.4.mell._HKK_Mérleg2019'!D17+'1.5._mell._MŐSZ_Mérleg2019'!D17+'1.6._mell._HVGYKCSSZ_Mérleg2019'!D17</f>
        <v>134845</v>
      </c>
      <c r="E17" s="770">
        <f>+'1.1.mell._ÖNK_Mérleg2019'!E17+'1.2.mell._HKÖH_Mérleg2019'!E17+'1.3.mell._HVÓBKI_Mérleg2019'!E17+'1.4.mell._HKK_Mérleg2019'!E17+'1.5._mell._MŐSZ_Mérleg2019'!E17+'1.6._mell._HVGYKCSSZ_Mérleg2019'!E17</f>
        <v>0</v>
      </c>
      <c r="F17" s="771">
        <f>+'1.1.mell._ÖNK_Mérleg2019'!F17+'1.2.mell._HKÖH_Mérleg2019'!F17+'1.3.mell._HVÓBKI_Mérleg2019'!F17+'1.4.mell._HKK_Mérleg2019'!F17+'1.5._mell._MŐSZ_Mérleg2019'!F17+'1.6._mell._HVGYKCSSZ_Mérleg2019'!F17</f>
        <v>0</v>
      </c>
      <c r="G17" s="741">
        <f>+C17/$C$102</f>
        <v>2.9166907299870502E-2</v>
      </c>
      <c r="H17" s="14">
        <f t="shared" si="0"/>
        <v>0</v>
      </c>
    </row>
    <row r="18" spans="1:8" s="140" customFormat="1">
      <c r="A18" s="102" t="s">
        <v>195</v>
      </c>
      <c r="B18" s="82" t="s">
        <v>906</v>
      </c>
      <c r="C18" s="134">
        <f t="shared" si="1"/>
        <v>0</v>
      </c>
      <c r="D18" s="769">
        <f>+'1.1.mell._ÖNK_Mérleg2019'!D18+'1.2.mell._HKÖH_Mérleg2019'!D18+'1.3.mell._HVÓBKI_Mérleg2019'!D18+'1.4.mell._HKK_Mérleg2019'!D18+'1.5._mell._MŐSZ_Mérleg2019'!D18+'1.6._mell._HVGYKCSSZ_Mérleg2019'!D18</f>
        <v>0</v>
      </c>
      <c r="E18" s="770">
        <f>+'1.1.mell._ÖNK_Mérleg2019'!E18+'1.2.mell._HKÖH_Mérleg2019'!E18+'1.3.mell._HVÓBKI_Mérleg2019'!E18+'1.4.mell._HKK_Mérleg2019'!E18+'1.5._mell._MŐSZ_Mérleg2019'!E18+'1.6._mell._HVGYKCSSZ_Mérleg2019'!E18</f>
        <v>0</v>
      </c>
      <c r="F18" s="771">
        <f>+'1.1.mell._ÖNK_Mérleg2019'!F18+'1.2.mell._HKÖH_Mérleg2019'!F18+'1.3.mell._HVÓBKI_Mérleg2019'!F18+'1.4.mell._HKK_Mérleg2019'!F18+'1.5._mell._MŐSZ_Mérleg2019'!F18+'1.6._mell._HVGYKCSSZ_Mérleg2019'!F18</f>
        <v>0</v>
      </c>
      <c r="H18" s="14">
        <f t="shared" si="0"/>
        <v>0</v>
      </c>
    </row>
    <row r="19" spans="1:8">
      <c r="A19" s="101" t="s">
        <v>55</v>
      </c>
      <c r="B19" s="83" t="s">
        <v>97</v>
      </c>
      <c r="C19" s="23">
        <f t="shared" si="1"/>
        <v>3090</v>
      </c>
      <c r="D19" s="21">
        <f>+'1.1.mell._ÖNK_Mérleg2019'!D19+'1.2.mell._HKÖH_Mérleg2019'!D19+'1.3.mell._HVÓBKI_Mérleg2019'!D19+'1.4.mell._HKK_Mérleg2019'!D19+'1.5._mell._MŐSZ_Mérleg2019'!D19+'1.6._mell._HVGYKCSSZ_Mérleg2019'!D19</f>
        <v>3090</v>
      </c>
      <c r="E19" s="12">
        <f>+'1.1.mell._ÖNK_Mérleg2019'!E19+'1.2.mell._HKÖH_Mérleg2019'!E19+'1.3.mell._HVÓBKI_Mérleg2019'!E19+'1.4.mell._HKK_Mérleg2019'!E19+'1.5._mell._MŐSZ_Mérleg2019'!E19+'1.6._mell._HVGYKCSSZ_Mérleg2019'!E19</f>
        <v>0</v>
      </c>
      <c r="F19" s="17">
        <f>+'1.1.mell._ÖNK_Mérleg2019'!F19+'1.2.mell._HKÖH_Mérleg2019'!F19+'1.3.mell._HVÓBKI_Mérleg2019'!F19+'1.4.mell._HKK_Mérleg2019'!F19+'1.5._mell._MŐSZ_Mérleg2019'!F19+'1.6._mell._HVGYKCSSZ_Mérleg2019'!F19</f>
        <v>0</v>
      </c>
      <c r="H19" s="4">
        <f t="shared" si="0"/>
        <v>0</v>
      </c>
    </row>
    <row r="20" spans="1:8">
      <c r="A20" s="101" t="s">
        <v>83</v>
      </c>
      <c r="B20" s="83" t="s">
        <v>98</v>
      </c>
      <c r="C20" s="23">
        <f t="shared" si="1"/>
        <v>0</v>
      </c>
      <c r="D20" s="21">
        <f>+'1.1.mell._ÖNK_Mérleg2019'!D20+'1.2.mell._HKÖH_Mérleg2019'!D20+'1.3.mell._HVÓBKI_Mérleg2019'!D20+'1.4.mell._HKK_Mérleg2019'!D20+'1.5._mell._MŐSZ_Mérleg2019'!D20+'1.6._mell._HVGYKCSSZ_Mérleg2019'!D20</f>
        <v>0</v>
      </c>
      <c r="E20" s="12">
        <f>+'1.1.mell._ÖNK_Mérleg2019'!E20+'1.2.mell._HKÖH_Mérleg2019'!E20+'1.3.mell._HVÓBKI_Mérleg2019'!E20+'1.4.mell._HKK_Mérleg2019'!E20+'1.5._mell._MŐSZ_Mérleg2019'!E20+'1.6._mell._HVGYKCSSZ_Mérleg2019'!E20</f>
        <v>0</v>
      </c>
      <c r="F20" s="17">
        <f>+'1.1.mell._ÖNK_Mérleg2019'!F20+'1.2.mell._HKÖH_Mérleg2019'!F20+'1.3.mell._HVÓBKI_Mérleg2019'!F20+'1.4.mell._HKK_Mérleg2019'!F20+'1.5._mell._MŐSZ_Mérleg2019'!F20+'1.6._mell._HVGYKCSSZ_Mérleg2019'!F20</f>
        <v>0</v>
      </c>
      <c r="H20" s="4">
        <f t="shared" si="0"/>
        <v>0</v>
      </c>
    </row>
    <row r="21" spans="1:8">
      <c r="A21" s="101" t="s">
        <v>84</v>
      </c>
      <c r="B21" s="83" t="s">
        <v>99</v>
      </c>
      <c r="C21" s="23">
        <f t="shared" si="1"/>
        <v>0</v>
      </c>
      <c r="D21" s="21">
        <f>+'1.1.mell._ÖNK_Mérleg2019'!D21+'1.2.mell._HKÖH_Mérleg2019'!D21+'1.3.mell._HVÓBKI_Mérleg2019'!D21+'1.4.mell._HKK_Mérleg2019'!D21+'1.5._mell._MŐSZ_Mérleg2019'!D21+'1.6._mell._HVGYKCSSZ_Mérleg2019'!D21</f>
        <v>0</v>
      </c>
      <c r="E21" s="12">
        <f>+'1.1.mell._ÖNK_Mérleg2019'!E21+'1.2.mell._HKÖH_Mérleg2019'!E21+'1.3.mell._HVÓBKI_Mérleg2019'!E21+'1.4.mell._HKK_Mérleg2019'!E21+'1.5._mell._MŐSZ_Mérleg2019'!E21+'1.6._mell._HVGYKCSSZ_Mérleg2019'!E21</f>
        <v>0</v>
      </c>
      <c r="F21" s="17">
        <f>+'1.1.mell._ÖNK_Mérleg2019'!F21+'1.2.mell._HKÖH_Mérleg2019'!F21+'1.3.mell._HVÓBKI_Mérleg2019'!F21+'1.4.mell._HKK_Mérleg2019'!F21+'1.5._mell._MŐSZ_Mérleg2019'!F21+'1.6._mell._HVGYKCSSZ_Mérleg2019'!F21</f>
        <v>0</v>
      </c>
      <c r="H21" s="4">
        <f t="shared" si="0"/>
        <v>0</v>
      </c>
    </row>
    <row r="22" spans="1:8">
      <c r="A22" s="101" t="s">
        <v>85</v>
      </c>
      <c r="B22" s="83" t="s">
        <v>100</v>
      </c>
      <c r="C22" s="23">
        <f t="shared" si="1"/>
        <v>0</v>
      </c>
      <c r="D22" s="21">
        <f>+'1.1.mell._ÖNK_Mérleg2019'!D22+'1.2.mell._HKÖH_Mérleg2019'!D22+'1.3.mell._HVÓBKI_Mérleg2019'!D22+'1.4.mell._HKK_Mérleg2019'!D22+'1.5._mell._MŐSZ_Mérleg2019'!D22+'1.6._mell._HVGYKCSSZ_Mérleg2019'!D22</f>
        <v>0</v>
      </c>
      <c r="E22" s="12">
        <f>+'1.1.mell._ÖNK_Mérleg2019'!E22+'1.2.mell._HKÖH_Mérleg2019'!E22+'1.3.mell._HVÓBKI_Mérleg2019'!E22+'1.4.mell._HKK_Mérleg2019'!E22+'1.5._mell._MŐSZ_Mérleg2019'!E22+'1.6._mell._HVGYKCSSZ_Mérleg2019'!E22</f>
        <v>0</v>
      </c>
      <c r="F22" s="17">
        <f>+'1.1.mell._ÖNK_Mérleg2019'!F22+'1.2.mell._HKÖH_Mérleg2019'!F22+'1.3.mell._HVÓBKI_Mérleg2019'!F22+'1.4.mell._HKK_Mérleg2019'!F22+'1.5._mell._MŐSZ_Mérleg2019'!F22+'1.6._mell._HVGYKCSSZ_Mérleg2019'!F22</f>
        <v>0</v>
      </c>
      <c r="H22" s="4">
        <f t="shared" si="0"/>
        <v>0</v>
      </c>
    </row>
    <row r="23" spans="1:8">
      <c r="A23" s="94" t="s">
        <v>86</v>
      </c>
      <c r="B23" s="84" t="s">
        <v>101</v>
      </c>
      <c r="C23" s="26">
        <f t="shared" si="1"/>
        <v>70880</v>
      </c>
      <c r="D23" s="27">
        <f>+'1.1.mell._ÖNK_Mérleg2019'!D23+'1.2.mell._HKÖH_Mérleg2019'!D23+'1.3.mell._HVÓBKI_Mérleg2019'!D23+'1.4.mell._HKK_Mérleg2019'!D23+'1.5._mell._MŐSZ_Mérleg2019'!D23+'1.6._mell._HVGYKCSSZ_Mérleg2019'!D23</f>
        <v>67640</v>
      </c>
      <c r="E23" s="28">
        <f>+'1.1.mell._ÖNK_Mérleg2019'!E23+'1.2.mell._HKÖH_Mérleg2019'!E23+'1.3.mell._HVÓBKI_Mérleg2019'!E23+'1.4.mell._HKK_Mérleg2019'!E23+'1.5._mell._MŐSZ_Mérleg2019'!E23+'1.6._mell._HVGYKCSSZ_Mérleg2019'!E23</f>
        <v>3240</v>
      </c>
      <c r="F23" s="29">
        <f>+'1.1.mell._ÖNK_Mérleg2019'!F23+'1.2.mell._HKÖH_Mérleg2019'!F23+'1.3.mell._HVÓBKI_Mérleg2019'!F23+'1.4.mell._HKK_Mérleg2019'!F23+'1.5._mell._MŐSZ_Mérleg2019'!F23+'1.6._mell._HVGYKCSSZ_Mérleg2019'!F23</f>
        <v>0</v>
      </c>
      <c r="H23" s="4">
        <f t="shared" si="0"/>
        <v>0</v>
      </c>
    </row>
    <row r="24" spans="1:8" s="14" customFormat="1" ht="12.75" thickBot="1">
      <c r="A24" s="105" t="s">
        <v>332</v>
      </c>
      <c r="B24" s="837" t="s">
        <v>333</v>
      </c>
      <c r="C24" s="58">
        <f t="shared" si="1"/>
        <v>0</v>
      </c>
      <c r="D24" s="56">
        <f>+'1.1.mell._ÖNK_Mérleg2019'!D24+'1.2.mell._HKÖH_Mérleg2019'!D24+'1.3.mell._HVÓBKI_Mérleg2019'!D24+'1.4.mell._HKK_Mérleg2019'!D24+'1.5._mell._MŐSZ_Mérleg2019'!D24+'1.6._mell._HVGYKCSSZ_Mérleg2019'!D24</f>
        <v>0</v>
      </c>
      <c r="E24" s="54">
        <f>+'1.1.mell._ÖNK_Mérleg2019'!E24+'1.2.mell._HKÖH_Mérleg2019'!E24+'1.3.mell._HVÓBKI_Mérleg2019'!E24+'1.4.mell._HKK_Mérleg2019'!E24+'1.5._mell._MŐSZ_Mérleg2019'!E24+'1.6._mell._HVGYKCSSZ_Mérleg2019'!E24</f>
        <v>0</v>
      </c>
      <c r="F24" s="55">
        <f>+'1.1.mell._ÖNK_Mérleg2019'!F24+'1.2.mell._HKÖH_Mérleg2019'!F24+'1.3.mell._HVÓBKI_Mérleg2019'!F24+'1.4.mell._HKK_Mérleg2019'!F24+'1.5._mell._MŐSZ_Mérleg2019'!F24+'1.6._mell._HVGYKCSSZ_Mérleg2019'!F24</f>
        <v>0</v>
      </c>
      <c r="H24" s="14">
        <f t="shared" si="0"/>
        <v>0</v>
      </c>
    </row>
    <row r="25" spans="1:8" s="3" customFormat="1" ht="12.75" customHeight="1" thickBot="1">
      <c r="A25" s="99" t="s">
        <v>6</v>
      </c>
      <c r="B25" s="80" t="s">
        <v>787</v>
      </c>
      <c r="C25" s="44">
        <f>+C26+C27+C28+C29+C30+C31</f>
        <v>384050</v>
      </c>
      <c r="D25" s="33">
        <f>+D26+D27+D28+D29+D30+D31</f>
        <v>371480</v>
      </c>
      <c r="E25" s="34">
        <f>+E26+E27+E28+E29+E30+E31</f>
        <v>12570</v>
      </c>
      <c r="F25" s="35">
        <f>+F26+F27+F28+F29+F30+F31</f>
        <v>0</v>
      </c>
      <c r="G25" s="741">
        <f>+C25/$C$102</f>
        <v>8.3069826456414891E-2</v>
      </c>
      <c r="H25" s="3">
        <f t="shared" si="0"/>
        <v>0</v>
      </c>
    </row>
    <row r="26" spans="1:8" ht="12.75" customHeight="1">
      <c r="A26" s="100" t="s">
        <v>58</v>
      </c>
      <c r="B26" s="81" t="s">
        <v>102</v>
      </c>
      <c r="C26" s="36">
        <f t="shared" ref="C26:C31" si="2">+D26+E26+F26</f>
        <v>60</v>
      </c>
      <c r="D26" s="41">
        <f>+'1.1.mell._ÖNK_Mérleg2019'!D26+'1.2.mell._HKÖH_Mérleg2019'!D26+'1.3.mell._HVÓBKI_Mérleg2019'!D26+'1.4.mell._HKK_Mérleg2019'!D26+'1.5._mell._MŐSZ_Mérleg2019'!D26+'1.6._mell._HVGYKCSSZ_Mérleg2019'!D26</f>
        <v>60</v>
      </c>
      <c r="E26" s="11">
        <f>+'1.1.mell._ÖNK_Mérleg2019'!E26+'1.2.mell._HKÖH_Mérleg2019'!E26+'1.3.mell._HVÓBKI_Mérleg2019'!E26+'1.4.mell._HKK_Mérleg2019'!E26+'1.5._mell._MŐSZ_Mérleg2019'!E26+'1.6._mell._HVGYKCSSZ_Mérleg2019'!E26</f>
        <v>0</v>
      </c>
      <c r="F26" s="42">
        <f>+'1.1.mell._ÖNK_Mérleg2019'!F26+'1.2.mell._HKÖH_Mérleg2019'!F26+'1.3.mell._HVÓBKI_Mérleg2019'!F26+'1.4.mell._HKK_Mérleg2019'!F26+'1.5._mell._MŐSZ_Mérleg2019'!F26+'1.6._mell._HVGYKCSSZ_Mérleg2019'!F26</f>
        <v>0</v>
      </c>
      <c r="H26" s="4">
        <f t="shared" si="0"/>
        <v>0</v>
      </c>
    </row>
    <row r="27" spans="1:8" ht="12.75" customHeight="1">
      <c r="A27" s="101" t="s">
        <v>59</v>
      </c>
      <c r="B27" s="83" t="s">
        <v>103</v>
      </c>
      <c r="C27" s="23">
        <f t="shared" si="2"/>
        <v>0</v>
      </c>
      <c r="D27" s="21">
        <f>+'1.1.mell._ÖNK_Mérleg2019'!D27+'1.2.mell._HKÖH_Mérleg2019'!D27+'1.3.mell._HVÓBKI_Mérleg2019'!D27+'1.4.mell._HKK_Mérleg2019'!D27+'1.5._mell._MŐSZ_Mérleg2019'!D27+'1.6._mell._HVGYKCSSZ_Mérleg2019'!D27</f>
        <v>0</v>
      </c>
      <c r="E27" s="12">
        <f>+'1.1.mell._ÖNK_Mérleg2019'!E27+'1.2.mell._HKÖH_Mérleg2019'!E27+'1.3.mell._HVÓBKI_Mérleg2019'!E27+'1.4.mell._HKK_Mérleg2019'!E27+'1.5._mell._MŐSZ_Mérleg2019'!E27+'1.6._mell._HVGYKCSSZ_Mérleg2019'!E27</f>
        <v>0</v>
      </c>
      <c r="F27" s="17">
        <f>+'1.1.mell._ÖNK_Mérleg2019'!F27+'1.2.mell._HKÖH_Mérleg2019'!F27+'1.3.mell._HVÓBKI_Mérleg2019'!F27+'1.4.mell._HKK_Mérleg2019'!F27+'1.5._mell._MŐSZ_Mérleg2019'!F27+'1.6._mell._HVGYKCSSZ_Mérleg2019'!F27</f>
        <v>0</v>
      </c>
      <c r="H27" s="4">
        <f t="shared" si="0"/>
        <v>0</v>
      </c>
    </row>
    <row r="28" spans="1:8" ht="12.75" customHeight="1">
      <c r="A28" s="101" t="s">
        <v>60</v>
      </c>
      <c r="B28" s="83" t="s">
        <v>104</v>
      </c>
      <c r="C28" s="23">
        <f t="shared" si="2"/>
        <v>0</v>
      </c>
      <c r="D28" s="21">
        <f>+'1.1.mell._ÖNK_Mérleg2019'!D28+'1.2.mell._HKÖH_Mérleg2019'!D28+'1.3.mell._HVÓBKI_Mérleg2019'!D28+'1.4.mell._HKK_Mérleg2019'!D28+'1.5._mell._MŐSZ_Mérleg2019'!D28+'1.6._mell._HVGYKCSSZ_Mérleg2019'!D28</f>
        <v>0</v>
      </c>
      <c r="E28" s="12">
        <f>+'1.1.mell._ÖNK_Mérleg2019'!E28+'1.2.mell._HKÖH_Mérleg2019'!E28+'1.3.mell._HVÓBKI_Mérleg2019'!E28+'1.4.mell._HKK_Mérleg2019'!E28+'1.5._mell._MŐSZ_Mérleg2019'!E28+'1.6._mell._HVGYKCSSZ_Mérleg2019'!E28</f>
        <v>0</v>
      </c>
      <c r="F28" s="17">
        <f>+'1.1.mell._ÖNK_Mérleg2019'!F28+'1.2.mell._HKÖH_Mérleg2019'!F28+'1.3.mell._HVÓBKI_Mérleg2019'!F28+'1.4.mell._HKK_Mérleg2019'!F28+'1.5._mell._MŐSZ_Mérleg2019'!F28+'1.6._mell._HVGYKCSSZ_Mérleg2019'!F28</f>
        <v>0</v>
      </c>
      <c r="H28" s="4">
        <f t="shared" si="0"/>
        <v>0</v>
      </c>
    </row>
    <row r="29" spans="1:8" ht="12.75" customHeight="1">
      <c r="A29" s="101" t="s">
        <v>180</v>
      </c>
      <c r="B29" s="83" t="s">
        <v>105</v>
      </c>
      <c r="C29" s="23">
        <f t="shared" si="2"/>
        <v>62000</v>
      </c>
      <c r="D29" s="21">
        <f>+'1.1.mell._ÖNK_Mérleg2019'!D29+'1.2.mell._HKÖH_Mérleg2019'!D29+'1.3.mell._HVÓBKI_Mérleg2019'!D29+'1.4.mell._HKK_Mérleg2019'!D29+'1.5._mell._MŐSZ_Mérleg2019'!D29+'1.6._mell._HVGYKCSSZ_Mérleg2019'!D29</f>
        <v>62000</v>
      </c>
      <c r="E29" s="12">
        <f>+'1.1.mell._ÖNK_Mérleg2019'!E29+'1.2.mell._HKÖH_Mérleg2019'!E29+'1.3.mell._HVÓBKI_Mérleg2019'!E29+'1.4.mell._HKK_Mérleg2019'!E29+'1.5._mell._MŐSZ_Mérleg2019'!E29+'1.6._mell._HVGYKCSSZ_Mérleg2019'!E29</f>
        <v>0</v>
      </c>
      <c r="F29" s="17">
        <f>+'1.1.mell._ÖNK_Mérleg2019'!F29+'1.2.mell._HKÖH_Mérleg2019'!F29+'1.3.mell._HVÓBKI_Mérleg2019'!F29+'1.4.mell._HKK_Mérleg2019'!F29+'1.5._mell._MŐSZ_Mérleg2019'!F29+'1.6._mell._HVGYKCSSZ_Mérleg2019'!F29</f>
        <v>0</v>
      </c>
      <c r="H29" s="4">
        <f t="shared" si="0"/>
        <v>0</v>
      </c>
    </row>
    <row r="30" spans="1:8" ht="12.75" customHeight="1">
      <c r="A30" s="94" t="s">
        <v>181</v>
      </c>
      <c r="B30" s="84" t="s">
        <v>106</v>
      </c>
      <c r="C30" s="26">
        <f t="shared" si="2"/>
        <v>307720</v>
      </c>
      <c r="D30" s="21">
        <f>+'1.1.mell._ÖNK_Mérleg2019'!D30+'1.2.mell._HKÖH_Mérleg2019'!D30+'1.3.mell._HVÓBKI_Mérleg2019'!D30+'1.4.mell._HKK_Mérleg2019'!D30+'1.5._mell._MŐSZ_Mérleg2019'!D30+'1.6._mell._HVGYKCSSZ_Mérleg2019'!D30</f>
        <v>307720</v>
      </c>
      <c r="E30" s="12">
        <f>+'1.1.mell._ÖNK_Mérleg2019'!E30+'1.2.mell._HKÖH_Mérleg2019'!E30+'1.3.mell._HVÓBKI_Mérleg2019'!E30+'1.4.mell._HKK_Mérleg2019'!E30+'1.5._mell._MŐSZ_Mérleg2019'!E30+'1.6._mell._HVGYKCSSZ_Mérleg2019'!E30</f>
        <v>0</v>
      </c>
      <c r="F30" s="17">
        <f>+'1.1.mell._ÖNK_Mérleg2019'!F30+'1.2.mell._HKÖH_Mérleg2019'!F30+'1.3.mell._HVÓBKI_Mérleg2019'!F30+'1.4.mell._HKK_Mérleg2019'!F30+'1.5._mell._MŐSZ_Mérleg2019'!F30+'1.6._mell._HVGYKCSSZ_Mérleg2019'!F30</f>
        <v>0</v>
      </c>
      <c r="H30" s="4">
        <f t="shared" si="0"/>
        <v>0</v>
      </c>
    </row>
    <row r="31" spans="1:8" ht="12.75" customHeight="1" thickBot="1">
      <c r="A31" s="94" t="s">
        <v>786</v>
      </c>
      <c r="B31" s="84" t="s">
        <v>788</v>
      </c>
      <c r="C31" s="26">
        <f t="shared" si="2"/>
        <v>14270</v>
      </c>
      <c r="D31" s="21">
        <f>+'1.1.mell._ÖNK_Mérleg2019'!D31+'1.2.mell._HKÖH_Mérleg2019'!D31+'1.3.mell._HVÓBKI_Mérleg2019'!D31+'1.4.mell._HKK_Mérleg2019'!D31+'1.5._mell._MŐSZ_Mérleg2019'!D31+'1.6._mell._HVGYKCSSZ_Mérleg2019'!D31</f>
        <v>1700</v>
      </c>
      <c r="E31" s="12">
        <f>+'1.1.mell._ÖNK_Mérleg2019'!E31+'1.2.mell._HKÖH_Mérleg2019'!E31+'1.3.mell._HVÓBKI_Mérleg2019'!E31+'1.4.mell._HKK_Mérleg2019'!E31+'1.5._mell._MŐSZ_Mérleg2019'!E31+'1.6._mell._HVGYKCSSZ_Mérleg2019'!E31</f>
        <v>12570</v>
      </c>
      <c r="F31" s="17">
        <f>+'1.1.mell._ÖNK_Mérleg2019'!F31+'1.2.mell._HKÖH_Mérleg2019'!F31+'1.3.mell._HVÓBKI_Mérleg2019'!F31+'1.4.mell._HKK_Mérleg2019'!F31+'1.5._mell._MŐSZ_Mérleg2019'!F31+'1.6._mell._HVGYKCSSZ_Mérleg2019'!F31</f>
        <v>0</v>
      </c>
      <c r="H31" s="4">
        <f t="shared" si="0"/>
        <v>0</v>
      </c>
    </row>
    <row r="32" spans="1:8" s="3" customFormat="1" ht="12.75" customHeight="1" thickBot="1">
      <c r="A32" s="99" t="s">
        <v>3</v>
      </c>
      <c r="B32" s="80" t="s">
        <v>981</v>
      </c>
      <c r="C32" s="44">
        <f>+C33+C34+C35+C36+C37+C38+C39+C40+C41+C42+C43</f>
        <v>132543</v>
      </c>
      <c r="D32" s="33">
        <f>+D33+D34+D35+D36+D37+D38+D39+D40+D41+D42+D43</f>
        <v>103693</v>
      </c>
      <c r="E32" s="34">
        <f>+E33+E34+E35+E36+E37+E38+E39+E40+E41+E42+E43</f>
        <v>28850</v>
      </c>
      <c r="F32" s="35">
        <f>+F33+F34+F35+F36+F37+F38+F39+F40+F41+F42+F43</f>
        <v>0</v>
      </c>
      <c r="G32" s="741">
        <f>+C32/$C$102</f>
        <v>2.8668985830002863E-2</v>
      </c>
      <c r="H32" s="3">
        <f t="shared" si="0"/>
        <v>0</v>
      </c>
    </row>
    <row r="33" spans="1:8" ht="12.75" customHeight="1">
      <c r="A33" s="100" t="s">
        <v>61</v>
      </c>
      <c r="B33" s="81" t="s">
        <v>107</v>
      </c>
      <c r="C33" s="36">
        <f t="shared" ref="C33:C43" si="3">+D33+E33+F33</f>
        <v>0</v>
      </c>
      <c r="D33" s="41">
        <f>+'1.1.mell._ÖNK_Mérleg2019'!D33+'1.2.mell._HKÖH_Mérleg2019'!D33+'1.3.mell._HVÓBKI_Mérleg2019'!D33+'1.4.mell._HKK_Mérleg2019'!D33+'1.5._mell._MŐSZ_Mérleg2019'!D33+'1.6._mell._HVGYKCSSZ_Mérleg2019'!D33</f>
        <v>0</v>
      </c>
      <c r="E33" s="11">
        <f>+'1.1.mell._ÖNK_Mérleg2019'!E33+'1.2.mell._HKÖH_Mérleg2019'!E33+'1.3.mell._HVÓBKI_Mérleg2019'!E33+'1.4.mell._HKK_Mérleg2019'!E33+'1.5._mell._MŐSZ_Mérleg2019'!E33+'1.6._mell._HVGYKCSSZ_Mérleg2019'!E33</f>
        <v>0</v>
      </c>
      <c r="F33" s="42">
        <f>+'1.1.mell._ÖNK_Mérleg2019'!F33+'1.2.mell._HKÖH_Mérleg2019'!F33+'1.3.mell._HVÓBKI_Mérleg2019'!F33+'1.4.mell._HKK_Mérleg2019'!F33+'1.5._mell._MŐSZ_Mérleg2019'!F33+'1.6._mell._HVGYKCSSZ_Mérleg2019'!F33</f>
        <v>0</v>
      </c>
      <c r="H33" s="4">
        <f t="shared" si="0"/>
        <v>0</v>
      </c>
    </row>
    <row r="34" spans="1:8" ht="12.75" customHeight="1">
      <c r="A34" s="101" t="s">
        <v>62</v>
      </c>
      <c r="B34" s="83" t="s">
        <v>108</v>
      </c>
      <c r="C34" s="23">
        <f t="shared" si="3"/>
        <v>57881</v>
      </c>
      <c r="D34" s="21">
        <f>+'1.1.mell._ÖNK_Mérleg2019'!D34+'1.2.mell._HKÖH_Mérleg2019'!D34+'1.3.mell._HVÓBKI_Mérleg2019'!D34+'1.4.mell._HKK_Mérleg2019'!D34+'1.5._mell._MŐSZ_Mérleg2019'!D34+'1.6._mell._HVGYKCSSZ_Mérleg2019'!D34</f>
        <v>35154</v>
      </c>
      <c r="E34" s="12">
        <f>+'1.1.mell._ÖNK_Mérleg2019'!E34+'1.2.mell._HKÖH_Mérleg2019'!E34+'1.3.mell._HVÓBKI_Mérleg2019'!E34+'1.4.mell._HKK_Mérleg2019'!E34+'1.5._mell._MŐSZ_Mérleg2019'!E34+'1.6._mell._HVGYKCSSZ_Mérleg2019'!E34</f>
        <v>22727</v>
      </c>
      <c r="F34" s="17">
        <f>+'1.1.mell._ÖNK_Mérleg2019'!F34+'1.2.mell._HKÖH_Mérleg2019'!F34+'1.3.mell._HVÓBKI_Mérleg2019'!F34+'1.4.mell._HKK_Mérleg2019'!F34+'1.5._mell._MŐSZ_Mérleg2019'!F34+'1.6._mell._HVGYKCSSZ_Mérleg2019'!F34</f>
        <v>0</v>
      </c>
      <c r="H34" s="4">
        <f t="shared" si="0"/>
        <v>0</v>
      </c>
    </row>
    <row r="35" spans="1:8" ht="12.75" customHeight="1">
      <c r="A35" s="101" t="s">
        <v>63</v>
      </c>
      <c r="B35" s="83" t="s">
        <v>109</v>
      </c>
      <c r="C35" s="23">
        <f t="shared" si="3"/>
        <v>8830</v>
      </c>
      <c r="D35" s="21">
        <f>+'1.1.mell._ÖNK_Mérleg2019'!D35+'1.2.mell._HKÖH_Mérleg2019'!D35+'1.3.mell._HVÓBKI_Mérleg2019'!D35+'1.4.mell._HKK_Mérleg2019'!D35+'1.5._mell._MŐSZ_Mérleg2019'!D35+'1.6._mell._HVGYKCSSZ_Mérleg2019'!D35</f>
        <v>8830</v>
      </c>
      <c r="E35" s="12">
        <f>+'1.1.mell._ÖNK_Mérleg2019'!E35+'1.2.mell._HKÖH_Mérleg2019'!E35+'1.3.mell._HVÓBKI_Mérleg2019'!E35+'1.4.mell._HKK_Mérleg2019'!E35+'1.5._mell._MŐSZ_Mérleg2019'!E35+'1.6._mell._HVGYKCSSZ_Mérleg2019'!E35</f>
        <v>0</v>
      </c>
      <c r="F35" s="17">
        <f>+'1.1.mell._ÖNK_Mérleg2019'!F35+'1.2.mell._HKÖH_Mérleg2019'!F35+'1.3.mell._HVÓBKI_Mérleg2019'!F35+'1.4.mell._HKK_Mérleg2019'!F35+'1.5._mell._MŐSZ_Mérleg2019'!F35+'1.6._mell._HVGYKCSSZ_Mérleg2019'!F35</f>
        <v>0</v>
      </c>
      <c r="H35" s="4">
        <f t="shared" si="0"/>
        <v>0</v>
      </c>
    </row>
    <row r="36" spans="1:8" ht="12.75" customHeight="1">
      <c r="A36" s="101" t="s">
        <v>64</v>
      </c>
      <c r="B36" s="83" t="s">
        <v>110</v>
      </c>
      <c r="C36" s="23">
        <f t="shared" si="3"/>
        <v>236</v>
      </c>
      <c r="D36" s="21">
        <f>+'1.1.mell._ÖNK_Mérleg2019'!D36+'1.2.mell._HKÖH_Mérleg2019'!D36+'1.3.mell._HVÓBKI_Mérleg2019'!D36+'1.4.mell._HKK_Mérleg2019'!D36+'1.5._mell._MŐSZ_Mérleg2019'!D36+'1.6._mell._HVGYKCSSZ_Mérleg2019'!D36</f>
        <v>236</v>
      </c>
      <c r="E36" s="12">
        <f>+'1.1.mell._ÖNK_Mérleg2019'!E36+'1.2.mell._HKÖH_Mérleg2019'!E36+'1.3.mell._HVÓBKI_Mérleg2019'!E36+'1.4.mell._HKK_Mérleg2019'!E36+'1.5._mell._MŐSZ_Mérleg2019'!E36+'1.6._mell._HVGYKCSSZ_Mérleg2019'!E36</f>
        <v>0</v>
      </c>
      <c r="F36" s="17">
        <f>+'1.1.mell._ÖNK_Mérleg2019'!F36+'1.2.mell._HKÖH_Mérleg2019'!F36+'1.3.mell._HVÓBKI_Mérleg2019'!F36+'1.4.mell._HKK_Mérleg2019'!F36+'1.5._mell._MŐSZ_Mérleg2019'!F36+'1.6._mell._HVGYKCSSZ_Mérleg2019'!F36</f>
        <v>0</v>
      </c>
      <c r="H36" s="4">
        <f t="shared" si="0"/>
        <v>0</v>
      </c>
    </row>
    <row r="37" spans="1:8" ht="12.75" customHeight="1">
      <c r="A37" s="101" t="s">
        <v>65</v>
      </c>
      <c r="B37" s="83" t="s">
        <v>111</v>
      </c>
      <c r="C37" s="23">
        <f t="shared" si="3"/>
        <v>8734</v>
      </c>
      <c r="D37" s="21">
        <f>+'1.1.mell._ÖNK_Mérleg2019'!D37+'1.2.mell._HKÖH_Mérleg2019'!D37+'1.3.mell._HVÓBKI_Mérleg2019'!D37+'1.4.mell._HKK_Mérleg2019'!D37+'1.5._mell._MŐSZ_Mérleg2019'!D37+'1.6._mell._HVGYKCSSZ_Mérleg2019'!D37</f>
        <v>8734</v>
      </c>
      <c r="E37" s="12">
        <f>+'1.1.mell._ÖNK_Mérleg2019'!E37+'1.2.mell._HKÖH_Mérleg2019'!E37+'1.3.mell._HVÓBKI_Mérleg2019'!E37+'1.4.mell._HKK_Mérleg2019'!E37+'1.5._mell._MŐSZ_Mérleg2019'!E37+'1.6._mell._HVGYKCSSZ_Mérleg2019'!E37</f>
        <v>0</v>
      </c>
      <c r="F37" s="17">
        <f>+'1.1.mell._ÖNK_Mérleg2019'!F37+'1.2.mell._HKÖH_Mérleg2019'!F37+'1.3.mell._HVÓBKI_Mérleg2019'!F37+'1.4.mell._HKK_Mérleg2019'!F37+'1.5._mell._MŐSZ_Mérleg2019'!F37+'1.6._mell._HVGYKCSSZ_Mérleg2019'!F37</f>
        <v>0</v>
      </c>
      <c r="H37" s="4">
        <f t="shared" si="0"/>
        <v>0</v>
      </c>
    </row>
    <row r="38" spans="1:8" ht="12.75" customHeight="1">
      <c r="A38" s="101" t="s">
        <v>222</v>
      </c>
      <c r="B38" s="83" t="s">
        <v>112</v>
      </c>
      <c r="C38" s="23">
        <f>+D38+E38+F38</f>
        <v>20016</v>
      </c>
      <c r="D38" s="21">
        <f>+'1.1.mell._ÖNK_Mérleg2019'!D38+'1.2.mell._HKÖH_Mérleg2019'!D38+'1.3.mell._HVÓBKI_Mérleg2019'!D38+'1.4.mell._HKK_Mérleg2019'!D38+'1.5._mell._MŐSZ_Mérleg2019'!D38+'1.6._mell._HVGYKCSSZ_Mérleg2019'!D38</f>
        <v>13893</v>
      </c>
      <c r="E38" s="12">
        <f>+'1.1.mell._ÖNK_Mérleg2019'!E38+'1.2.mell._HKÖH_Mérleg2019'!E38+'1.3.mell._HVÓBKI_Mérleg2019'!E38+'1.4.mell._HKK_Mérleg2019'!E38+'1.5._mell._MŐSZ_Mérleg2019'!E38+'1.6._mell._HVGYKCSSZ_Mérleg2019'!E38</f>
        <v>6123</v>
      </c>
      <c r="F38" s="17">
        <f>+'1.1.mell._ÖNK_Mérleg2019'!F38+'1.2.mell._HKÖH_Mérleg2019'!F38+'1.3.mell._HVÓBKI_Mérleg2019'!F38+'1.4.mell._HKK_Mérleg2019'!F38+'1.5._mell._MŐSZ_Mérleg2019'!F38+'1.6._mell._HVGYKCSSZ_Mérleg2019'!F38</f>
        <v>0</v>
      </c>
      <c r="H38" s="4">
        <f t="shared" si="0"/>
        <v>0</v>
      </c>
    </row>
    <row r="39" spans="1:8" ht="12.75" customHeight="1">
      <c r="A39" s="101" t="s">
        <v>223</v>
      </c>
      <c r="B39" s="83" t="s">
        <v>113</v>
      </c>
      <c r="C39" s="23">
        <f t="shared" si="3"/>
        <v>17899</v>
      </c>
      <c r="D39" s="21">
        <f>+'1.1.mell._ÖNK_Mérleg2019'!D39+'1.2.mell._HKÖH_Mérleg2019'!D39+'1.3.mell._HVÓBKI_Mérleg2019'!D39+'1.4.mell._HKK_Mérleg2019'!D39+'1.5._mell._MŐSZ_Mérleg2019'!D39+'1.6._mell._HVGYKCSSZ_Mérleg2019'!D39</f>
        <v>17899</v>
      </c>
      <c r="E39" s="12">
        <f>+'1.1.mell._ÖNK_Mérleg2019'!E39+'1.2.mell._HKÖH_Mérleg2019'!E39+'1.3.mell._HVÓBKI_Mérleg2019'!E39+'1.4.mell._HKK_Mérleg2019'!E39+'1.5._mell._MŐSZ_Mérleg2019'!E39+'1.6._mell._HVGYKCSSZ_Mérleg2019'!E39</f>
        <v>0</v>
      </c>
      <c r="F39" s="17">
        <f>+'1.1.mell._ÖNK_Mérleg2019'!F39+'1.2.mell._HKÖH_Mérleg2019'!F39+'1.3.mell._HVÓBKI_Mérleg2019'!F39+'1.4.mell._HKK_Mérleg2019'!F39+'1.5._mell._MŐSZ_Mérleg2019'!F39+'1.6._mell._HVGYKCSSZ_Mérleg2019'!F39</f>
        <v>0</v>
      </c>
      <c r="H39" s="4">
        <f t="shared" si="0"/>
        <v>0</v>
      </c>
    </row>
    <row r="40" spans="1:8" ht="12.75" customHeight="1">
      <c r="A40" s="101" t="s">
        <v>224</v>
      </c>
      <c r="B40" s="83" t="s">
        <v>991</v>
      </c>
      <c r="C40" s="23">
        <f t="shared" si="3"/>
        <v>0</v>
      </c>
      <c r="D40" s="21">
        <f>+'1.1.mell._ÖNK_Mérleg2019'!D40+'1.2.mell._HKÖH_Mérleg2019'!D40+'1.3.mell._HVÓBKI_Mérleg2019'!D40+'1.4.mell._HKK_Mérleg2019'!D40+'1.5._mell._MŐSZ_Mérleg2019'!D40+'1.6._mell._HVGYKCSSZ_Mérleg2019'!D40</f>
        <v>0</v>
      </c>
      <c r="E40" s="12">
        <f>+'1.1.mell._ÖNK_Mérleg2019'!E40+'1.2.mell._HKÖH_Mérleg2019'!E40+'1.3.mell._HVÓBKI_Mérleg2019'!E40+'1.4.mell._HKK_Mérleg2019'!E40+'1.5._mell._MŐSZ_Mérleg2019'!E40+'1.6._mell._HVGYKCSSZ_Mérleg2019'!E40</f>
        <v>0</v>
      </c>
      <c r="F40" s="17">
        <f>+'1.1.mell._ÖNK_Mérleg2019'!F40+'1.2.mell._HKÖH_Mérleg2019'!F40+'1.3.mell._HVÓBKI_Mérleg2019'!F40+'1.4.mell._HKK_Mérleg2019'!F40+'1.5._mell._MŐSZ_Mérleg2019'!F40+'1.6._mell._HVGYKCSSZ_Mérleg2019'!F40</f>
        <v>0</v>
      </c>
      <c r="H40" s="4">
        <f t="shared" si="0"/>
        <v>0</v>
      </c>
    </row>
    <row r="41" spans="1:8" ht="12.75" customHeight="1">
      <c r="A41" s="101" t="s">
        <v>225</v>
      </c>
      <c r="B41" s="83" t="s">
        <v>114</v>
      </c>
      <c r="C41" s="23">
        <f t="shared" si="3"/>
        <v>0</v>
      </c>
      <c r="D41" s="21">
        <f>+'1.1.mell._ÖNK_Mérleg2019'!D41+'1.2.mell._HKÖH_Mérleg2019'!D41+'1.3.mell._HVÓBKI_Mérleg2019'!D41+'1.4.mell._HKK_Mérleg2019'!D41+'1.5._mell._MŐSZ_Mérleg2019'!D41+'1.6._mell._HVGYKCSSZ_Mérleg2019'!D41</f>
        <v>0</v>
      </c>
      <c r="E41" s="12">
        <f>+'1.1.mell._ÖNK_Mérleg2019'!E41+'1.2.mell._HKÖH_Mérleg2019'!E41+'1.3.mell._HVÓBKI_Mérleg2019'!E41+'1.4.mell._HKK_Mérleg2019'!E41+'1.5._mell._MŐSZ_Mérleg2019'!E41+'1.6._mell._HVGYKCSSZ_Mérleg2019'!E41</f>
        <v>0</v>
      </c>
      <c r="F41" s="17">
        <f>+'1.1.mell._ÖNK_Mérleg2019'!F41+'1.2.mell._HKÖH_Mérleg2019'!F41+'1.3.mell._HVÓBKI_Mérleg2019'!F41+'1.4.mell._HKK_Mérleg2019'!F41+'1.5._mell._MŐSZ_Mérleg2019'!F41+'1.6._mell._HVGYKCSSZ_Mérleg2019'!F41</f>
        <v>0</v>
      </c>
      <c r="H41" s="4">
        <f t="shared" si="0"/>
        <v>0</v>
      </c>
    </row>
    <row r="42" spans="1:8" ht="12.75" customHeight="1">
      <c r="A42" s="94" t="s">
        <v>226</v>
      </c>
      <c r="B42" s="84" t="s">
        <v>908</v>
      </c>
      <c r="C42" s="23">
        <f>+D42+E42+F42</f>
        <v>0</v>
      </c>
      <c r="D42" s="21">
        <f>+'1.1.mell._ÖNK_Mérleg2019'!D42+'1.2.mell._HKÖH_Mérleg2019'!D42+'1.3.mell._HVÓBKI_Mérleg2019'!D42+'1.4.mell._HKK_Mérleg2019'!D42+'1.5._mell._MŐSZ_Mérleg2019'!D42+'1.6._mell._HVGYKCSSZ_Mérleg2019'!D42</f>
        <v>0</v>
      </c>
      <c r="E42" s="12">
        <f>+'1.1.mell._ÖNK_Mérleg2019'!E42+'1.2.mell._HKÖH_Mérleg2019'!E42+'1.3.mell._HVÓBKI_Mérleg2019'!E42+'1.4.mell._HKK_Mérleg2019'!E42+'1.5._mell._MŐSZ_Mérleg2019'!E42+'1.6._mell._HVGYKCSSZ_Mérleg2019'!E42</f>
        <v>0</v>
      </c>
      <c r="F42" s="17">
        <f>+'1.1.mell._ÖNK_Mérleg2019'!F42+'1.2.mell._HKÖH_Mérleg2019'!F42+'1.3.mell._HVÓBKI_Mérleg2019'!F42+'1.4.mell._HKK_Mérleg2019'!F42+'1.5._mell._MŐSZ_Mérleg2019'!F42+'1.6._mell._HVGYKCSSZ_Mérleg2019'!F42</f>
        <v>0</v>
      </c>
      <c r="H42" s="4">
        <f t="shared" si="0"/>
        <v>0</v>
      </c>
    </row>
    <row r="43" spans="1:8" ht="12.75" customHeight="1" thickBot="1">
      <c r="A43" s="94" t="s">
        <v>907</v>
      </c>
      <c r="B43" s="84" t="s">
        <v>909</v>
      </c>
      <c r="C43" s="26">
        <f t="shared" si="3"/>
        <v>18947</v>
      </c>
      <c r="D43" s="27">
        <f>+'1.1.mell._ÖNK_Mérleg2019'!D43+'1.2.mell._HKÖH_Mérleg2019'!D43+'1.3.mell._HVÓBKI_Mérleg2019'!D43+'1.4.mell._HKK_Mérleg2019'!D43+'1.5._mell._MŐSZ_Mérleg2019'!D43+'1.6._mell._HVGYKCSSZ_Mérleg2019'!D43</f>
        <v>18947</v>
      </c>
      <c r="E43" s="28">
        <f>+'1.1.mell._ÖNK_Mérleg2019'!E43+'1.2.mell._HKÖH_Mérleg2019'!E43+'1.3.mell._HVÓBKI_Mérleg2019'!E43+'1.4.mell._HKK_Mérleg2019'!E43+'1.5._mell._MŐSZ_Mérleg2019'!E43+'1.6._mell._HVGYKCSSZ_Mérleg2019'!E43</f>
        <v>0</v>
      </c>
      <c r="F43" s="29">
        <f>+'1.1.mell._ÖNK_Mérleg2019'!F43+'1.2.mell._HKÖH_Mérleg2019'!F43+'1.3.mell._HVÓBKI_Mérleg2019'!F43+'1.4.mell._HKK_Mérleg2019'!F43+'1.5._mell._MŐSZ_Mérleg2019'!F43+'1.6._mell._HVGYKCSSZ_Mérleg2019'!F43</f>
        <v>0</v>
      </c>
      <c r="H43" s="4">
        <f t="shared" si="0"/>
        <v>0</v>
      </c>
    </row>
    <row r="44" spans="1:8" s="3" customFormat="1" ht="12.75" thickBot="1">
      <c r="A44" s="99" t="s">
        <v>16</v>
      </c>
      <c r="B44" s="80" t="s">
        <v>982</v>
      </c>
      <c r="C44" s="44">
        <f>+C45+C46+C47+C48+C49</f>
        <v>5800</v>
      </c>
      <c r="D44" s="33">
        <f>+D45+D46+D47+D48+D49</f>
        <v>5800</v>
      </c>
      <c r="E44" s="34">
        <f>+E45+E46+E47+E48+E49</f>
        <v>0</v>
      </c>
      <c r="F44" s="35">
        <f>+F45+F46+F47+F48+F49</f>
        <v>0</v>
      </c>
      <c r="G44" s="741">
        <f>+C44/$C$102</f>
        <v>1.2545371525770248E-3</v>
      </c>
      <c r="H44" s="3">
        <f t="shared" si="0"/>
        <v>0</v>
      </c>
    </row>
    <row r="45" spans="1:8" ht="12.75" customHeight="1">
      <c r="A45" s="100" t="s">
        <v>227</v>
      </c>
      <c r="B45" s="81" t="s">
        <v>115</v>
      </c>
      <c r="C45" s="36">
        <f>+D45+E45+F45</f>
        <v>0</v>
      </c>
      <c r="D45" s="41">
        <f>+'1.1.mell._ÖNK_Mérleg2019'!D45+'1.2.mell._HKÖH_Mérleg2019'!D45+'1.3.mell._HVÓBKI_Mérleg2019'!D45+'1.4.mell._HKK_Mérleg2019'!D45+'1.5._mell._MŐSZ_Mérleg2019'!D45+'1.6._mell._HVGYKCSSZ_Mérleg2019'!D45</f>
        <v>0</v>
      </c>
      <c r="E45" s="11">
        <f>+'1.1.mell._ÖNK_Mérleg2019'!E45+'1.2.mell._HKÖH_Mérleg2019'!E45+'1.3.mell._HVÓBKI_Mérleg2019'!E45+'1.4.mell._HKK_Mérleg2019'!E45+'1.5._mell._MŐSZ_Mérleg2019'!E45+'1.6._mell._HVGYKCSSZ_Mérleg2019'!E45</f>
        <v>0</v>
      </c>
      <c r="F45" s="42">
        <f>+'1.1.mell._ÖNK_Mérleg2019'!F45+'1.2.mell._HKÖH_Mérleg2019'!F45+'1.3.mell._HVÓBKI_Mérleg2019'!F45+'1.4.mell._HKK_Mérleg2019'!F45+'1.5._mell._MŐSZ_Mérleg2019'!F45+'1.6._mell._HVGYKCSSZ_Mérleg2019'!F45</f>
        <v>0</v>
      </c>
      <c r="H45" s="4">
        <f t="shared" si="0"/>
        <v>0</v>
      </c>
    </row>
    <row r="46" spans="1:8" ht="12.75" customHeight="1">
      <c r="A46" s="100" t="s">
        <v>228</v>
      </c>
      <c r="B46" s="81" t="s">
        <v>910</v>
      </c>
      <c r="C46" s="36">
        <f>+D46+E46+F46</f>
        <v>0</v>
      </c>
      <c r="D46" s="41">
        <f>+'1.1.mell._ÖNK_Mérleg2019'!D46+'1.2.mell._HKÖH_Mérleg2019'!D46+'1.3.mell._HVÓBKI_Mérleg2019'!D46+'1.4.mell._HKK_Mérleg2019'!D46+'1.5._mell._MŐSZ_Mérleg2019'!D46+'1.6._mell._HVGYKCSSZ_Mérleg2019'!D46</f>
        <v>0</v>
      </c>
      <c r="E46" s="11">
        <f>+'1.1.mell._ÖNK_Mérleg2019'!E46+'1.2.mell._HKÖH_Mérleg2019'!E46+'1.3.mell._HVÓBKI_Mérleg2019'!E46+'1.4.mell._HKK_Mérleg2019'!E46+'1.5._mell._MŐSZ_Mérleg2019'!E46+'1.6._mell._HVGYKCSSZ_Mérleg2019'!E46</f>
        <v>0</v>
      </c>
      <c r="F46" s="42">
        <f>+'1.1.mell._ÖNK_Mérleg2019'!F46+'1.2.mell._HKÖH_Mérleg2019'!F46+'1.3.mell._HVÓBKI_Mérleg2019'!F46+'1.4.mell._HKK_Mérleg2019'!F46+'1.5._mell._MŐSZ_Mérleg2019'!F46+'1.6._mell._HVGYKCSSZ_Mérleg2019'!F46</f>
        <v>0</v>
      </c>
      <c r="H46" s="4">
        <f t="shared" si="0"/>
        <v>0</v>
      </c>
    </row>
    <row r="47" spans="1:8" ht="12.75" customHeight="1">
      <c r="A47" s="100" t="s">
        <v>229</v>
      </c>
      <c r="B47" s="81" t="s">
        <v>911</v>
      </c>
      <c r="C47" s="36">
        <f>+D47+E47+F47</f>
        <v>0</v>
      </c>
      <c r="D47" s="41">
        <f>+'1.1.mell._ÖNK_Mérleg2019'!D47+'1.2.mell._HKÖH_Mérleg2019'!D47+'1.3.mell._HVÓBKI_Mérleg2019'!D47+'1.4.mell._HKK_Mérleg2019'!D47+'1.5._mell._MŐSZ_Mérleg2019'!D47+'1.6._mell._HVGYKCSSZ_Mérleg2019'!D47</f>
        <v>0</v>
      </c>
      <c r="E47" s="11">
        <f>+'1.1.mell._ÖNK_Mérleg2019'!E47+'1.2.mell._HKÖH_Mérleg2019'!E47+'1.3.mell._HVÓBKI_Mérleg2019'!E47+'1.4.mell._HKK_Mérleg2019'!E47+'1.5._mell._MŐSZ_Mérleg2019'!E47+'1.6._mell._HVGYKCSSZ_Mérleg2019'!E47</f>
        <v>0</v>
      </c>
      <c r="F47" s="42">
        <f>+'1.1.mell._ÖNK_Mérleg2019'!F47+'1.2.mell._HKÖH_Mérleg2019'!F47+'1.3.mell._HVÓBKI_Mérleg2019'!F47+'1.4.mell._HKK_Mérleg2019'!F47+'1.5._mell._MŐSZ_Mérleg2019'!F47+'1.6._mell._HVGYKCSSZ_Mérleg2019'!F47</f>
        <v>0</v>
      </c>
      <c r="H47" s="4">
        <f t="shared" si="0"/>
        <v>0</v>
      </c>
    </row>
    <row r="48" spans="1:8" ht="12.75" customHeight="1">
      <c r="A48" s="101" t="s">
        <v>257</v>
      </c>
      <c r="B48" s="83" t="s">
        <v>912</v>
      </c>
      <c r="C48" s="23">
        <f>+D48+E48+F48</f>
        <v>4000</v>
      </c>
      <c r="D48" s="21">
        <f>+'1.1.mell._ÖNK_Mérleg2019'!D48+'1.2.mell._HKÖH_Mérleg2019'!D48+'1.3.mell._HVÓBKI_Mérleg2019'!D48+'1.4.mell._HKK_Mérleg2019'!D48+'1.5._mell._MŐSZ_Mérleg2019'!D48+'1.6._mell._HVGYKCSSZ_Mérleg2019'!D48</f>
        <v>4000</v>
      </c>
      <c r="E48" s="12">
        <f>+'1.1.mell._ÖNK_Mérleg2019'!E48+'1.2.mell._HKÖH_Mérleg2019'!E48+'1.3.mell._HVÓBKI_Mérleg2019'!E48+'1.4.mell._HKK_Mérleg2019'!E48+'1.5._mell._MŐSZ_Mérleg2019'!E48+'1.6._mell._HVGYKCSSZ_Mérleg2019'!E48</f>
        <v>0</v>
      </c>
      <c r="F48" s="17">
        <f>+'1.1.mell._ÖNK_Mérleg2019'!F48+'1.2.mell._HKÖH_Mérleg2019'!F48+'1.3.mell._HVÓBKI_Mérleg2019'!F48+'1.4.mell._HKK_Mérleg2019'!F48+'1.5._mell._MŐSZ_Mérleg2019'!F48+'1.6._mell._HVGYKCSSZ_Mérleg2019'!F48</f>
        <v>0</v>
      </c>
      <c r="H48" s="4">
        <f t="shared" si="0"/>
        <v>0</v>
      </c>
    </row>
    <row r="49" spans="1:8" ht="12.75" customHeight="1" thickBot="1">
      <c r="A49" s="94" t="s">
        <v>258</v>
      </c>
      <c r="B49" s="84" t="s">
        <v>913</v>
      </c>
      <c r="C49" s="26">
        <f>+D49+E49+F49</f>
        <v>1800</v>
      </c>
      <c r="D49" s="27">
        <f>+'1.1.mell._ÖNK_Mérleg2019'!D49+'1.2.mell._HKÖH_Mérleg2019'!D49+'1.3.mell._HVÓBKI_Mérleg2019'!D49+'1.4.mell._HKK_Mérleg2019'!D49+'1.5._mell._MŐSZ_Mérleg2019'!D49+'1.6._mell._HVGYKCSSZ_Mérleg2019'!D49</f>
        <v>1800</v>
      </c>
      <c r="E49" s="28">
        <f>+'1.1.mell._ÖNK_Mérleg2019'!E49+'1.2.mell._HKÖH_Mérleg2019'!E49+'1.3.mell._HVÓBKI_Mérleg2019'!E49+'1.4.mell._HKK_Mérleg2019'!E49+'1.5._mell._MŐSZ_Mérleg2019'!E49+'1.6._mell._HVGYKCSSZ_Mérleg2019'!E49</f>
        <v>0</v>
      </c>
      <c r="F49" s="29">
        <f>+'1.1.mell._ÖNK_Mérleg2019'!F49+'1.2.mell._HKÖH_Mérleg2019'!F49+'1.3.mell._HVÓBKI_Mérleg2019'!F49+'1.4.mell._HKK_Mérleg2019'!F49+'1.5._mell._MŐSZ_Mérleg2019'!F49+'1.6._mell._HVGYKCSSZ_Mérleg2019'!F49</f>
        <v>0</v>
      </c>
      <c r="H49" s="4">
        <f t="shared" si="0"/>
        <v>0</v>
      </c>
    </row>
    <row r="50" spans="1:8" s="3" customFormat="1" ht="12.75" thickBot="1">
      <c r="A50" s="99" t="s">
        <v>15</v>
      </c>
      <c r="B50" s="85" t="s">
        <v>300</v>
      </c>
      <c r="C50" s="44">
        <f>+C51+C58+C64</f>
        <v>389249</v>
      </c>
      <c r="D50" s="33">
        <f>+D51+D58+D64</f>
        <v>37749</v>
      </c>
      <c r="E50" s="34">
        <f>+E51+E58+E64</f>
        <v>351500</v>
      </c>
      <c r="F50" s="35">
        <f>+F51+F58+F64</f>
        <v>0</v>
      </c>
      <c r="G50" s="741">
        <f>+C50/$C$102</f>
        <v>8.4194367604043849E-2</v>
      </c>
      <c r="H50" s="3">
        <f t="shared" si="0"/>
        <v>0</v>
      </c>
    </row>
    <row r="51" spans="1:8" s="3" customFormat="1" ht="12.75" customHeight="1" thickBot="1">
      <c r="A51" s="99" t="s">
        <v>14</v>
      </c>
      <c r="B51" s="80" t="s">
        <v>301</v>
      </c>
      <c r="C51" s="44">
        <f>+C52+C53+C54+C55+C56</f>
        <v>377399</v>
      </c>
      <c r="D51" s="33">
        <f>+D52+D53+D54+D55+D56</f>
        <v>27399</v>
      </c>
      <c r="E51" s="34">
        <f>+E52+E53+E54+E55+E56</f>
        <v>350000</v>
      </c>
      <c r="F51" s="35">
        <f>+F52+F53+F54+F55+F56</f>
        <v>0</v>
      </c>
      <c r="G51" s="741">
        <f>+C51/$C$102</f>
        <v>8.1631218421623547E-2</v>
      </c>
      <c r="H51" s="3">
        <f t="shared" si="0"/>
        <v>0</v>
      </c>
    </row>
    <row r="52" spans="1:8">
      <c r="A52" s="100" t="s">
        <v>185</v>
      </c>
      <c r="B52" s="135" t="s">
        <v>116</v>
      </c>
      <c r="C52" s="36">
        <f t="shared" ref="C52:C57" si="4">+D52+E52+F52</f>
        <v>0</v>
      </c>
      <c r="D52" s="41">
        <f>+'1.1.mell._ÖNK_Mérleg2019'!D52+'1.2.mell._HKÖH_Mérleg2019'!D52+'1.3.mell._HVÓBKI_Mérleg2019'!D52+'1.4.mell._HKK_Mérleg2019'!D52+'1.5._mell._MŐSZ_Mérleg2019'!D52+'1.6._mell._HVGYKCSSZ_Mérleg2019'!D52</f>
        <v>0</v>
      </c>
      <c r="E52" s="11">
        <f>+'1.1.mell._ÖNK_Mérleg2019'!E52+'1.2.mell._HKÖH_Mérleg2019'!E52+'1.3.mell._HVÓBKI_Mérleg2019'!E52+'1.4.mell._HKK_Mérleg2019'!E52+'1.5._mell._MŐSZ_Mérleg2019'!E52+'1.6._mell._HVGYKCSSZ_Mérleg2019'!E52</f>
        <v>0</v>
      </c>
      <c r="F52" s="42">
        <f>+'1.1.mell._ÖNK_Mérleg2019'!F52+'1.2.mell._HKÖH_Mérleg2019'!F52+'1.3.mell._HVÓBKI_Mérleg2019'!F52+'1.4.mell._HKK_Mérleg2019'!F52+'1.5._mell._MŐSZ_Mérleg2019'!F52+'1.6._mell._HVGYKCSSZ_Mérleg2019'!F52</f>
        <v>0</v>
      </c>
      <c r="H52" s="4">
        <f t="shared" si="0"/>
        <v>0</v>
      </c>
    </row>
    <row r="53" spans="1:8">
      <c r="A53" s="101" t="s">
        <v>186</v>
      </c>
      <c r="B53" s="83" t="s">
        <v>117</v>
      </c>
      <c r="C53" s="23">
        <f t="shared" si="4"/>
        <v>0</v>
      </c>
      <c r="D53" s="21">
        <f>+'1.1.mell._ÖNK_Mérleg2019'!D53+'1.2.mell._HKÖH_Mérleg2019'!D53+'1.3.mell._HVÓBKI_Mérleg2019'!D53+'1.4.mell._HKK_Mérleg2019'!D53+'1.5._mell._MŐSZ_Mérleg2019'!D53+'1.6._mell._HVGYKCSSZ_Mérleg2019'!D53</f>
        <v>0</v>
      </c>
      <c r="E53" s="12">
        <f>+'1.1.mell._ÖNK_Mérleg2019'!E53+'1.2.mell._HKÖH_Mérleg2019'!E53+'1.3.mell._HVÓBKI_Mérleg2019'!E53+'1.4.mell._HKK_Mérleg2019'!E53+'1.5._mell._MŐSZ_Mérleg2019'!E53+'1.6._mell._HVGYKCSSZ_Mérleg2019'!E53</f>
        <v>0</v>
      </c>
      <c r="F53" s="17">
        <f>+'1.1.mell._ÖNK_Mérleg2019'!F53+'1.2.mell._HKÖH_Mérleg2019'!F53+'1.3.mell._HVÓBKI_Mérleg2019'!F53+'1.4.mell._HKK_Mérleg2019'!F53+'1.5._mell._MŐSZ_Mérleg2019'!F53+'1.6._mell._HVGYKCSSZ_Mérleg2019'!F53</f>
        <v>0</v>
      </c>
      <c r="H53" s="4">
        <f t="shared" si="0"/>
        <v>0</v>
      </c>
    </row>
    <row r="54" spans="1:8">
      <c r="A54" s="101" t="s">
        <v>187</v>
      </c>
      <c r="B54" s="83" t="s">
        <v>118</v>
      </c>
      <c r="C54" s="23">
        <f t="shared" si="4"/>
        <v>0</v>
      </c>
      <c r="D54" s="21">
        <f>+'1.1.mell._ÖNK_Mérleg2019'!D54+'1.2.mell._HKÖH_Mérleg2019'!D54+'1.3.mell._HVÓBKI_Mérleg2019'!D54+'1.4.mell._HKK_Mérleg2019'!D54+'1.5._mell._MŐSZ_Mérleg2019'!D54+'1.6._mell._HVGYKCSSZ_Mérleg2019'!D54</f>
        <v>0</v>
      </c>
      <c r="E54" s="12">
        <f>+'1.1.mell._ÖNK_Mérleg2019'!E54+'1.2.mell._HKÖH_Mérleg2019'!E54+'1.3.mell._HVÓBKI_Mérleg2019'!E54+'1.4.mell._HKK_Mérleg2019'!E54+'1.5._mell._MŐSZ_Mérleg2019'!E54+'1.6._mell._HVGYKCSSZ_Mérleg2019'!E54</f>
        <v>0</v>
      </c>
      <c r="F54" s="17">
        <f>+'1.1.mell._ÖNK_Mérleg2019'!F54+'1.2.mell._HKÖH_Mérleg2019'!F54+'1.3.mell._HVÓBKI_Mérleg2019'!F54+'1.4.mell._HKK_Mérleg2019'!F54+'1.5._mell._MŐSZ_Mérleg2019'!F54+'1.6._mell._HVGYKCSSZ_Mérleg2019'!F54</f>
        <v>0</v>
      </c>
      <c r="H54" s="4">
        <f t="shared" si="0"/>
        <v>0</v>
      </c>
    </row>
    <row r="55" spans="1:8">
      <c r="A55" s="101" t="s">
        <v>188</v>
      </c>
      <c r="B55" s="83" t="s">
        <v>119</v>
      </c>
      <c r="C55" s="23">
        <f t="shared" si="4"/>
        <v>0</v>
      </c>
      <c r="D55" s="21">
        <f>+'1.1.mell._ÖNK_Mérleg2019'!D55+'1.2.mell._HKÖH_Mérleg2019'!D55+'1.3.mell._HVÓBKI_Mérleg2019'!D55+'1.4.mell._HKK_Mérleg2019'!D55+'1.5._mell._MŐSZ_Mérleg2019'!D55+'1.6._mell._HVGYKCSSZ_Mérleg2019'!D55</f>
        <v>0</v>
      </c>
      <c r="E55" s="12">
        <f>+'1.1.mell._ÖNK_Mérleg2019'!E55+'1.2.mell._HKÖH_Mérleg2019'!E55+'1.3.mell._HVÓBKI_Mérleg2019'!E55+'1.4.mell._HKK_Mérleg2019'!E55+'1.5._mell._MŐSZ_Mérleg2019'!E55+'1.6._mell._HVGYKCSSZ_Mérleg2019'!E55</f>
        <v>0</v>
      </c>
      <c r="F55" s="17">
        <f>+'1.1.mell._ÖNK_Mérleg2019'!F55+'1.2.mell._HKÖH_Mérleg2019'!F55+'1.3.mell._HVÓBKI_Mérleg2019'!F55+'1.4.mell._HKK_Mérleg2019'!F55+'1.5._mell._MŐSZ_Mérleg2019'!F55+'1.6._mell._HVGYKCSSZ_Mérleg2019'!F55</f>
        <v>0</v>
      </c>
      <c r="H55" s="4">
        <f t="shared" si="0"/>
        <v>0</v>
      </c>
    </row>
    <row r="56" spans="1:8">
      <c r="A56" s="94" t="s">
        <v>189</v>
      </c>
      <c r="B56" s="84" t="s">
        <v>120</v>
      </c>
      <c r="C56" s="26">
        <f t="shared" si="4"/>
        <v>377399</v>
      </c>
      <c r="D56" s="27">
        <f>+'1.1.mell._ÖNK_Mérleg2019'!D56+'1.2.mell._HKÖH_Mérleg2019'!D56+'1.3.mell._HVÓBKI_Mérleg2019'!D56+'1.4.mell._HKK_Mérleg2019'!D56+'1.5._mell._MŐSZ_Mérleg2019'!D56+'1.6._mell._HVGYKCSSZ_Mérleg2019'!D56</f>
        <v>27399</v>
      </c>
      <c r="E56" s="28">
        <f>+'1.1.mell._ÖNK_Mérleg2019'!E56+'1.2.mell._HKÖH_Mérleg2019'!E56+'1.3.mell._HVÓBKI_Mérleg2019'!E56+'1.4.mell._HKK_Mérleg2019'!E56+'1.5._mell._MŐSZ_Mérleg2019'!E56+'1.6._mell._HVGYKCSSZ_Mérleg2019'!E56</f>
        <v>350000</v>
      </c>
      <c r="F56" s="29">
        <f>+'1.1.mell._ÖNK_Mérleg2019'!F56+'1.2.mell._HKÖH_Mérleg2019'!F56+'1.3.mell._HVÓBKI_Mérleg2019'!F56+'1.4.mell._HKK_Mérleg2019'!F56+'1.5._mell._MŐSZ_Mérleg2019'!F56+'1.6._mell._HVGYKCSSZ_Mérleg2019'!F56</f>
        <v>0</v>
      </c>
      <c r="H56" s="4">
        <f t="shared" si="0"/>
        <v>0</v>
      </c>
    </row>
    <row r="57" spans="1:8" s="14" customFormat="1" ht="12.75" thickBot="1">
      <c r="A57" s="105" t="s">
        <v>334</v>
      </c>
      <c r="B57" s="837" t="s">
        <v>338</v>
      </c>
      <c r="C57" s="58">
        <f t="shared" si="4"/>
        <v>0</v>
      </c>
      <c r="D57" s="56">
        <f>+'1.1.mell._ÖNK_Mérleg2019'!D57+'1.2.mell._HKÖH_Mérleg2019'!D57+'1.3.mell._HVÓBKI_Mérleg2019'!D57+'1.4.mell._HKK_Mérleg2019'!D57+'1.5._mell._MŐSZ_Mérleg2019'!D57+'1.6._mell._HVGYKCSSZ_Mérleg2019'!D57</f>
        <v>0</v>
      </c>
      <c r="E57" s="54">
        <f>+'1.1.mell._ÖNK_Mérleg2019'!E57+'1.2.mell._HKÖH_Mérleg2019'!E57+'1.3.mell._HVÓBKI_Mérleg2019'!E57+'1.4.mell._HKK_Mérleg2019'!E57+'1.5._mell._MŐSZ_Mérleg2019'!E57+'1.6._mell._HVGYKCSSZ_Mérleg2019'!E57</f>
        <v>0</v>
      </c>
      <c r="F57" s="55">
        <f>+'1.1.mell._ÖNK_Mérleg2019'!F57+'1.2.mell._HKÖH_Mérleg2019'!F57+'1.3.mell._HVÓBKI_Mérleg2019'!F57+'1.4.mell._HKK_Mérleg2019'!F57+'1.5._mell._MŐSZ_Mérleg2019'!F57+'1.6._mell._HVGYKCSSZ_Mérleg2019'!F57</f>
        <v>0</v>
      </c>
      <c r="H57" s="14">
        <f t="shared" si="0"/>
        <v>0</v>
      </c>
    </row>
    <row r="58" spans="1:8" s="3" customFormat="1" ht="12.75" customHeight="1" thickBot="1">
      <c r="A58" s="99" t="s">
        <v>13</v>
      </c>
      <c r="B58" s="80" t="s">
        <v>302</v>
      </c>
      <c r="C58" s="44">
        <f>+C59+C60+C61+C62+C63</f>
        <v>10350</v>
      </c>
      <c r="D58" s="33">
        <f>+D59+D60+D61+D62+D63</f>
        <v>10350</v>
      </c>
      <c r="E58" s="34">
        <f>+E59+E60+E61+E62+E63</f>
        <v>0</v>
      </c>
      <c r="F58" s="35">
        <f>+F59+F60+F61+F62+F63</f>
        <v>0</v>
      </c>
      <c r="G58" s="741">
        <f>+C58/$C$102</f>
        <v>2.2386999188227941E-3</v>
      </c>
      <c r="H58" s="3">
        <f t="shared" si="0"/>
        <v>0</v>
      </c>
    </row>
    <row r="59" spans="1:8" ht="12.75" customHeight="1">
      <c r="A59" s="100" t="s">
        <v>66</v>
      </c>
      <c r="B59" s="81" t="s">
        <v>121</v>
      </c>
      <c r="C59" s="36">
        <f>+D59+E59+F59</f>
        <v>0</v>
      </c>
      <c r="D59" s="41">
        <f>+'1.1.mell._ÖNK_Mérleg2019'!D59+'1.2.mell._HKÖH_Mérleg2019'!D59+'1.3.mell._HVÓBKI_Mérleg2019'!D59+'1.4.mell._HKK_Mérleg2019'!D59+'1.5._mell._MŐSZ_Mérleg2019'!D59+'1.6._mell._HVGYKCSSZ_Mérleg2019'!D59</f>
        <v>0</v>
      </c>
      <c r="E59" s="11">
        <f>+'1.1.mell._ÖNK_Mérleg2019'!E59+'1.2.mell._HKÖH_Mérleg2019'!E59+'1.3.mell._HVÓBKI_Mérleg2019'!E59+'1.4.mell._HKK_Mérleg2019'!E59+'1.5._mell._MŐSZ_Mérleg2019'!E59+'1.6._mell._HVGYKCSSZ_Mérleg2019'!E59</f>
        <v>0</v>
      </c>
      <c r="F59" s="42">
        <f>+'1.1.mell._ÖNK_Mérleg2019'!F59+'1.2.mell._HKÖH_Mérleg2019'!F59+'1.3.mell._HVÓBKI_Mérleg2019'!F59+'1.4.mell._HKK_Mérleg2019'!F59+'1.5._mell._MŐSZ_Mérleg2019'!F59+'1.6._mell._HVGYKCSSZ_Mérleg2019'!F59</f>
        <v>0</v>
      </c>
      <c r="H59" s="4">
        <f t="shared" si="0"/>
        <v>0</v>
      </c>
    </row>
    <row r="60" spans="1:8" ht="12.75" customHeight="1">
      <c r="A60" s="101" t="s">
        <v>67</v>
      </c>
      <c r="B60" s="83" t="s">
        <v>122</v>
      </c>
      <c r="C60" s="23">
        <f>+D60+E60+F60</f>
        <v>10350</v>
      </c>
      <c r="D60" s="21">
        <f>+'1.1.mell._ÖNK_Mérleg2019'!D60+'1.2.mell._HKÖH_Mérleg2019'!D60+'1.3.mell._HVÓBKI_Mérleg2019'!D60+'1.4.mell._HKK_Mérleg2019'!D60+'1.5._mell._MŐSZ_Mérleg2019'!D60+'1.6._mell._HVGYKCSSZ_Mérleg2019'!D60</f>
        <v>10350</v>
      </c>
      <c r="E60" s="12">
        <f>+'1.1.mell._ÖNK_Mérleg2019'!E60+'1.2.mell._HKÖH_Mérleg2019'!E60+'1.3.mell._HVÓBKI_Mérleg2019'!E60+'1.4.mell._HKK_Mérleg2019'!E60+'1.5._mell._MŐSZ_Mérleg2019'!E60+'1.6._mell._HVGYKCSSZ_Mérleg2019'!E60</f>
        <v>0</v>
      </c>
      <c r="F60" s="17">
        <f>+'1.1.mell._ÖNK_Mérleg2019'!F60+'1.2.mell._HKÖH_Mérleg2019'!F60+'1.3.mell._HVÓBKI_Mérleg2019'!F60+'1.4.mell._HKK_Mérleg2019'!F60+'1.5._mell._MŐSZ_Mérleg2019'!F60+'1.6._mell._HVGYKCSSZ_Mérleg2019'!F60</f>
        <v>0</v>
      </c>
      <c r="H60" s="4">
        <f t="shared" si="0"/>
        <v>0</v>
      </c>
    </row>
    <row r="61" spans="1:8" ht="12.75" customHeight="1">
      <c r="A61" s="101" t="s">
        <v>68</v>
      </c>
      <c r="B61" s="83" t="s">
        <v>123</v>
      </c>
      <c r="C61" s="23">
        <f>+D61+E61+F61</f>
        <v>0</v>
      </c>
      <c r="D61" s="21">
        <f>+'1.1.mell._ÖNK_Mérleg2019'!D61+'1.2.mell._HKÖH_Mérleg2019'!D61+'1.3.mell._HVÓBKI_Mérleg2019'!D61+'1.4.mell._HKK_Mérleg2019'!D61+'1.5._mell._MŐSZ_Mérleg2019'!D61+'1.6._mell._HVGYKCSSZ_Mérleg2019'!D61</f>
        <v>0</v>
      </c>
      <c r="E61" s="12">
        <f>+'1.1.mell._ÖNK_Mérleg2019'!E61+'1.2.mell._HKÖH_Mérleg2019'!E61+'1.3.mell._HVÓBKI_Mérleg2019'!E61+'1.4.mell._HKK_Mérleg2019'!E61+'1.5._mell._MŐSZ_Mérleg2019'!E61+'1.6._mell._HVGYKCSSZ_Mérleg2019'!E61</f>
        <v>0</v>
      </c>
      <c r="F61" s="17">
        <f>+'1.1.mell._ÖNK_Mérleg2019'!F61+'1.2.mell._HKÖH_Mérleg2019'!F61+'1.3.mell._HVÓBKI_Mérleg2019'!F61+'1.4.mell._HKK_Mérleg2019'!F61+'1.5._mell._MŐSZ_Mérleg2019'!F61+'1.6._mell._HVGYKCSSZ_Mérleg2019'!F61</f>
        <v>0</v>
      </c>
      <c r="H61" s="4">
        <f t="shared" si="0"/>
        <v>0</v>
      </c>
    </row>
    <row r="62" spans="1:8" ht="12.75" customHeight="1">
      <c r="A62" s="101" t="s">
        <v>230</v>
      </c>
      <c r="B62" s="83" t="s">
        <v>124</v>
      </c>
      <c r="C62" s="23">
        <f>+D62+E62+F62</f>
        <v>0</v>
      </c>
      <c r="D62" s="21">
        <f>+'1.1.mell._ÖNK_Mérleg2019'!D62+'1.2.mell._HKÖH_Mérleg2019'!D62+'1.3.mell._HVÓBKI_Mérleg2019'!D62+'1.4.mell._HKK_Mérleg2019'!D62+'1.5._mell._MŐSZ_Mérleg2019'!D62+'1.6._mell._HVGYKCSSZ_Mérleg2019'!D62</f>
        <v>0</v>
      </c>
      <c r="E62" s="12">
        <f>+'1.1.mell._ÖNK_Mérleg2019'!E62+'1.2.mell._HKÖH_Mérleg2019'!E62+'1.3.mell._HVÓBKI_Mérleg2019'!E62+'1.4.mell._HKK_Mérleg2019'!E62+'1.5._mell._MŐSZ_Mérleg2019'!E62+'1.6._mell._HVGYKCSSZ_Mérleg2019'!E62</f>
        <v>0</v>
      </c>
      <c r="F62" s="17">
        <f>+'1.1.mell._ÖNK_Mérleg2019'!F62+'1.2.mell._HKÖH_Mérleg2019'!F62+'1.3.mell._HVÓBKI_Mérleg2019'!F62+'1.4.mell._HKK_Mérleg2019'!F62+'1.5._mell._MŐSZ_Mérleg2019'!F62+'1.6._mell._HVGYKCSSZ_Mérleg2019'!F62</f>
        <v>0</v>
      </c>
      <c r="H62" s="4">
        <f t="shared" si="0"/>
        <v>0</v>
      </c>
    </row>
    <row r="63" spans="1:8" ht="12.75" customHeight="1" thickBot="1">
      <c r="A63" s="94" t="s">
        <v>231</v>
      </c>
      <c r="B63" s="84" t="s">
        <v>125</v>
      </c>
      <c r="C63" s="26">
        <f>+D63+E63+F63</f>
        <v>0</v>
      </c>
      <c r="D63" s="27">
        <f>+'1.1.mell._ÖNK_Mérleg2019'!D63+'1.2.mell._HKÖH_Mérleg2019'!D63+'1.3.mell._HVÓBKI_Mérleg2019'!D63+'1.4.mell._HKK_Mérleg2019'!D63+'1.5._mell._MŐSZ_Mérleg2019'!D63+'1.6._mell._HVGYKCSSZ_Mérleg2019'!D63</f>
        <v>0</v>
      </c>
      <c r="E63" s="28">
        <f>+'1.1.mell._ÖNK_Mérleg2019'!E63+'1.2.mell._HKÖH_Mérleg2019'!E63+'1.3.mell._HVÓBKI_Mérleg2019'!E63+'1.4.mell._HKK_Mérleg2019'!E63+'1.5._mell._MŐSZ_Mérleg2019'!E63+'1.6._mell._HVGYKCSSZ_Mérleg2019'!E63</f>
        <v>0</v>
      </c>
      <c r="F63" s="29">
        <f>+'1.1.mell._ÖNK_Mérleg2019'!F63+'1.2.mell._HKÖH_Mérleg2019'!F63+'1.3.mell._HVÓBKI_Mérleg2019'!F63+'1.4.mell._HKK_Mérleg2019'!F63+'1.5._mell._MŐSZ_Mérleg2019'!F63+'1.6._mell._HVGYKCSSZ_Mérleg2019'!F63</f>
        <v>0</v>
      </c>
      <c r="H63" s="4">
        <f t="shared" si="0"/>
        <v>0</v>
      </c>
    </row>
    <row r="64" spans="1:8" s="3" customFormat="1" ht="12.75" thickBot="1">
      <c r="A64" s="99" t="s">
        <v>12</v>
      </c>
      <c r="B64" s="80" t="s">
        <v>917</v>
      </c>
      <c r="C64" s="44">
        <f>+C65+C66+C67+C68+C69</f>
        <v>1500</v>
      </c>
      <c r="D64" s="33">
        <f>+D65+D66+D67+D68+D69</f>
        <v>0</v>
      </c>
      <c r="E64" s="34">
        <f>+E65+E66+E67+E68+E69</f>
        <v>1500</v>
      </c>
      <c r="F64" s="35">
        <f>+F65+F66+F67+F68+F69</f>
        <v>0</v>
      </c>
      <c r="G64" s="741">
        <f>+C64/$C$102</f>
        <v>3.2444926359750644E-4</v>
      </c>
      <c r="H64" s="3">
        <f t="shared" si="0"/>
        <v>0</v>
      </c>
    </row>
    <row r="65" spans="1:8">
      <c r="A65" s="100" t="s">
        <v>69</v>
      </c>
      <c r="B65" s="81" t="s">
        <v>126</v>
      </c>
      <c r="C65" s="36">
        <f>+D65+E65+F65</f>
        <v>0</v>
      </c>
      <c r="D65" s="41">
        <f>+'1.1.mell._ÖNK_Mérleg2019'!D65+'1.2.mell._HKÖH_Mérleg2019'!D65+'1.3.mell._HVÓBKI_Mérleg2019'!D65+'1.4.mell._HKK_Mérleg2019'!D65+'1.5._mell._MŐSZ_Mérleg2019'!D65+'1.6._mell._HVGYKCSSZ_Mérleg2019'!D65</f>
        <v>0</v>
      </c>
      <c r="E65" s="11">
        <f>+'1.1.mell._ÖNK_Mérleg2019'!E65+'1.2.mell._HKÖH_Mérleg2019'!E65+'1.3.mell._HVÓBKI_Mérleg2019'!E65+'1.4.mell._HKK_Mérleg2019'!E65+'1.5._mell._MŐSZ_Mérleg2019'!E65+'1.6._mell._HVGYKCSSZ_Mérleg2019'!E65</f>
        <v>0</v>
      </c>
      <c r="F65" s="42">
        <f>+'1.1.mell._ÖNK_Mérleg2019'!F65+'1.2.mell._HKÖH_Mérleg2019'!F65+'1.3.mell._HVÓBKI_Mérleg2019'!F65+'1.4.mell._HKK_Mérleg2019'!F65+'1.5._mell._MŐSZ_Mérleg2019'!F65+'1.6._mell._HVGYKCSSZ_Mérleg2019'!F65</f>
        <v>0</v>
      </c>
      <c r="H65" s="4">
        <f t="shared" si="0"/>
        <v>0</v>
      </c>
    </row>
    <row r="66" spans="1:8">
      <c r="A66" s="100" t="s">
        <v>70</v>
      </c>
      <c r="B66" s="81" t="s">
        <v>918</v>
      </c>
      <c r="C66" s="36">
        <f>+D66+E66+F66</f>
        <v>0</v>
      </c>
      <c r="D66" s="41">
        <f>+'1.1.mell._ÖNK_Mérleg2019'!D66+'1.2.mell._HKÖH_Mérleg2019'!D66+'1.3.mell._HVÓBKI_Mérleg2019'!D66+'1.4.mell._HKK_Mérleg2019'!D66+'1.5._mell._MŐSZ_Mérleg2019'!D66+'1.6._mell._HVGYKCSSZ_Mérleg2019'!D66</f>
        <v>0</v>
      </c>
      <c r="E66" s="11">
        <f>+'1.1.mell._ÖNK_Mérleg2019'!E66+'1.2.mell._HKÖH_Mérleg2019'!E66+'1.3.mell._HVÓBKI_Mérleg2019'!E66+'1.4.mell._HKK_Mérleg2019'!E66+'1.5._mell._MŐSZ_Mérleg2019'!E66+'1.6._mell._HVGYKCSSZ_Mérleg2019'!E66</f>
        <v>0</v>
      </c>
      <c r="F66" s="42">
        <f>+'1.1.mell._ÖNK_Mérleg2019'!F66+'1.2.mell._HKÖH_Mérleg2019'!F66+'1.3.mell._HVÓBKI_Mérleg2019'!F66+'1.4.mell._HKK_Mérleg2019'!F66+'1.5._mell._MŐSZ_Mérleg2019'!F66+'1.6._mell._HVGYKCSSZ_Mérleg2019'!F66</f>
        <v>0</v>
      </c>
      <c r="H66" s="4">
        <f t="shared" si="0"/>
        <v>0</v>
      </c>
    </row>
    <row r="67" spans="1:8">
      <c r="A67" s="100" t="s">
        <v>71</v>
      </c>
      <c r="B67" s="81" t="s">
        <v>919</v>
      </c>
      <c r="C67" s="36">
        <f>+D67+E67+F67</f>
        <v>0</v>
      </c>
      <c r="D67" s="41">
        <f>+'1.1.mell._ÖNK_Mérleg2019'!D67+'1.2.mell._HKÖH_Mérleg2019'!D67+'1.3.mell._HVÓBKI_Mérleg2019'!D67+'1.4.mell._HKK_Mérleg2019'!D67+'1.5._mell._MŐSZ_Mérleg2019'!D67+'1.6._mell._HVGYKCSSZ_Mérleg2019'!D67</f>
        <v>0</v>
      </c>
      <c r="E67" s="11">
        <f>+'1.1.mell._ÖNK_Mérleg2019'!E67+'1.2.mell._HKÖH_Mérleg2019'!E67+'1.3.mell._HVÓBKI_Mérleg2019'!E67+'1.4.mell._HKK_Mérleg2019'!E67+'1.5._mell._MŐSZ_Mérleg2019'!E67+'1.6._mell._HVGYKCSSZ_Mérleg2019'!E67</f>
        <v>0</v>
      </c>
      <c r="F67" s="42">
        <f>+'1.1.mell._ÖNK_Mérleg2019'!F67+'1.2.mell._HKÖH_Mérleg2019'!F67+'1.3.mell._HVÓBKI_Mérleg2019'!F67+'1.4.mell._HKK_Mérleg2019'!F67+'1.5._mell._MŐSZ_Mérleg2019'!F67+'1.6._mell._HVGYKCSSZ_Mérleg2019'!F67</f>
        <v>0</v>
      </c>
      <c r="H67" s="4">
        <f t="shared" si="0"/>
        <v>0</v>
      </c>
    </row>
    <row r="68" spans="1:8">
      <c r="A68" s="101" t="s">
        <v>72</v>
      </c>
      <c r="B68" s="83" t="s">
        <v>915</v>
      </c>
      <c r="C68" s="23">
        <f>+D68+E68+F68</f>
        <v>0</v>
      </c>
      <c r="D68" s="21">
        <f>+'1.1.mell._ÖNK_Mérleg2019'!D68+'1.2.mell._HKÖH_Mérleg2019'!D68+'1.3.mell._HVÓBKI_Mérleg2019'!D68+'1.4.mell._HKK_Mérleg2019'!D68+'1.5._mell._MŐSZ_Mérleg2019'!D68+'1.6._mell._HVGYKCSSZ_Mérleg2019'!D68</f>
        <v>0</v>
      </c>
      <c r="E68" s="12">
        <f>+'1.1.mell._ÖNK_Mérleg2019'!E68+'1.2.mell._HKÖH_Mérleg2019'!E68+'1.3.mell._HVÓBKI_Mérleg2019'!E68+'1.4.mell._HKK_Mérleg2019'!E68+'1.5._mell._MŐSZ_Mérleg2019'!E68+'1.6._mell._HVGYKCSSZ_Mérleg2019'!E68</f>
        <v>0</v>
      </c>
      <c r="F68" s="17">
        <f>+'1.1.mell._ÖNK_Mérleg2019'!F68+'1.2.mell._HKÖH_Mérleg2019'!F68+'1.3.mell._HVÓBKI_Mérleg2019'!F68+'1.4.mell._HKK_Mérleg2019'!F68+'1.5._mell._MŐSZ_Mérleg2019'!F68+'1.6._mell._HVGYKCSSZ_Mérleg2019'!F68</f>
        <v>0</v>
      </c>
      <c r="H68" s="4">
        <f t="shared" si="0"/>
        <v>0</v>
      </c>
    </row>
    <row r="69" spans="1:8" ht="12.75" thickBot="1">
      <c r="A69" s="94" t="s">
        <v>914</v>
      </c>
      <c r="B69" s="84" t="s">
        <v>916</v>
      </c>
      <c r="C69" s="26">
        <f>+D69+E69+F69</f>
        <v>1500</v>
      </c>
      <c r="D69" s="27">
        <f>+'1.1.mell._ÖNK_Mérleg2019'!D69+'1.2.mell._HKÖH_Mérleg2019'!D69+'1.3.mell._HVÓBKI_Mérleg2019'!D69+'1.4.mell._HKK_Mérleg2019'!D69+'1.5._mell._MŐSZ_Mérleg2019'!D69+'1.6._mell._HVGYKCSSZ_Mérleg2019'!D69</f>
        <v>0</v>
      </c>
      <c r="E69" s="28">
        <f>+'1.1.mell._ÖNK_Mérleg2019'!E69+'1.2.mell._HKÖH_Mérleg2019'!E69+'1.3.mell._HVÓBKI_Mérleg2019'!E69+'1.4.mell._HKK_Mérleg2019'!E69+'1.5._mell._MŐSZ_Mérleg2019'!E69+'1.6._mell._HVGYKCSSZ_Mérleg2019'!E69</f>
        <v>1500</v>
      </c>
      <c r="F69" s="29">
        <f>+'1.1.mell._ÖNK_Mérleg2019'!F69+'1.2.mell._HKÖH_Mérleg2019'!F69+'1.3.mell._HVÓBKI_Mérleg2019'!F69+'1.4.mell._HKK_Mérleg2019'!F69+'1.5._mell._MŐSZ_Mérleg2019'!F69+'1.6._mell._HVGYKCSSZ_Mérleg2019'!F69</f>
        <v>0</v>
      </c>
      <c r="H69" s="4">
        <f t="shared" si="0"/>
        <v>0</v>
      </c>
    </row>
    <row r="70" spans="1:8" s="3" customFormat="1" ht="12.75" thickBot="1">
      <c r="A70" s="99" t="s">
        <v>11</v>
      </c>
      <c r="B70" s="85" t="s">
        <v>303</v>
      </c>
      <c r="C70" s="44">
        <f>+C10+C50</f>
        <v>1874448</v>
      </c>
      <c r="D70" s="33">
        <f>+D10+D50</f>
        <v>1478288</v>
      </c>
      <c r="E70" s="34">
        <f>+E10+E50</f>
        <v>396160</v>
      </c>
      <c r="F70" s="35">
        <f>+F10+F50</f>
        <v>0</v>
      </c>
      <c r="G70" s="741">
        <f>+C70/$C$102</f>
        <v>0.40544218216787914</v>
      </c>
      <c r="H70" s="3">
        <f t="shared" si="0"/>
        <v>0</v>
      </c>
    </row>
    <row r="71" spans="1:8" s="3" customFormat="1" ht="12.75" thickBot="1">
      <c r="A71" s="99" t="s">
        <v>10</v>
      </c>
      <c r="B71" s="86" t="s">
        <v>304</v>
      </c>
      <c r="C71" s="44">
        <f>+C72</f>
        <v>2738772</v>
      </c>
      <c r="D71" s="33">
        <f>+D72</f>
        <v>2738772</v>
      </c>
      <c r="E71" s="34">
        <f>+E72</f>
        <v>0</v>
      </c>
      <c r="F71" s="35">
        <f>+F72</f>
        <v>0</v>
      </c>
      <c r="G71" s="741">
        <f>+C71/$C$102</f>
        <v>0.5923950390409799</v>
      </c>
      <c r="H71" s="3">
        <f t="shared" si="0"/>
        <v>0</v>
      </c>
    </row>
    <row r="72" spans="1:8" s="3" customFormat="1" ht="12.75" thickBot="1">
      <c r="A72" s="99" t="s">
        <v>9</v>
      </c>
      <c r="B72" s="80" t="s">
        <v>926</v>
      </c>
      <c r="C72" s="44">
        <f>+C73+C83+C84+C85</f>
        <v>2738772</v>
      </c>
      <c r="D72" s="33">
        <f>+D73+D83+D84+D85</f>
        <v>2738772</v>
      </c>
      <c r="E72" s="34">
        <f>+E73+E83+E84+E85</f>
        <v>0</v>
      </c>
      <c r="F72" s="35">
        <f>+F73+F83+F84+F85</f>
        <v>0</v>
      </c>
      <c r="G72" s="741">
        <f>+C72/$C$102</f>
        <v>0.5923950390409799</v>
      </c>
      <c r="H72" s="3">
        <f t="shared" si="0"/>
        <v>0</v>
      </c>
    </row>
    <row r="73" spans="1:8">
      <c r="A73" s="100" t="s">
        <v>73</v>
      </c>
      <c r="B73" s="81" t="s">
        <v>921</v>
      </c>
      <c r="C73" s="36">
        <f>+C74+C75+C76+C77+C78+C79+C80+C81+C82</f>
        <v>2738772</v>
      </c>
      <c r="D73" s="41">
        <f>+D74+D75+D76+D77+D78+D79+D80+D81+D82</f>
        <v>2738772</v>
      </c>
      <c r="E73" s="11">
        <f>+E74+E75+E76+E77+E78+E79+E80+E81+E82</f>
        <v>0</v>
      </c>
      <c r="F73" s="42">
        <f>+F74+F75+F76+F77+F78+F79+F80+F81+F82</f>
        <v>0</v>
      </c>
      <c r="H73" s="4">
        <f t="shared" si="0"/>
        <v>0</v>
      </c>
    </row>
    <row r="74" spans="1:8" s="14" customFormat="1">
      <c r="A74" s="102" t="s">
        <v>196</v>
      </c>
      <c r="B74" s="82" t="s">
        <v>920</v>
      </c>
      <c r="C74" s="24">
        <f t="shared" ref="C74:C84" si="5">+D74+E74+F74</f>
        <v>0</v>
      </c>
      <c r="D74" s="20">
        <f>+'1.1.mell._ÖNK_Mérleg2019'!D74+'1.2.mell._HKÖH_Mérleg2019'!D74+'1.3.mell._HVÓBKI_Mérleg2019'!D74+'1.4.mell._HKK_Mérleg2019'!D74+'1.5._mell._MŐSZ_Mérleg2019'!D74+'1.6._mell._HVGYKCSSZ_Mérleg2019'!D74</f>
        <v>0</v>
      </c>
      <c r="E74" s="13">
        <f>+'1.1.mell._ÖNK_Mérleg2019'!E74+'1.2.mell._HKÖH_Mérleg2019'!E74+'1.3.mell._HVÓBKI_Mérleg2019'!E74+'1.4.mell._HKK_Mérleg2019'!E74+'1.5._mell._MŐSZ_Mérleg2019'!E74+'1.6._mell._HVGYKCSSZ_Mérleg2019'!E74</f>
        <v>0</v>
      </c>
      <c r="F74" s="16">
        <f>+'1.1.mell._ÖNK_Mérleg2019'!F74+'1.2.mell._HKÖH_Mérleg2019'!F74+'1.3.mell._HVÓBKI_Mérleg2019'!F74+'1.4.mell._HKK_Mérleg2019'!F74+'1.5._mell._MŐSZ_Mérleg2019'!F74+'1.6._mell._HVGYKCSSZ_Mérleg2019'!F74</f>
        <v>0</v>
      </c>
      <c r="H74" s="14">
        <f t="shared" si="0"/>
        <v>0</v>
      </c>
    </row>
    <row r="75" spans="1:8" s="14" customFormat="1">
      <c r="A75" s="102" t="s">
        <v>197</v>
      </c>
      <c r="B75" s="82" t="s">
        <v>247</v>
      </c>
      <c r="C75" s="24">
        <f t="shared" si="5"/>
        <v>0</v>
      </c>
      <c r="D75" s="20">
        <f>+'1.1.mell._ÖNK_Mérleg2019'!D75+'1.2.mell._HKÖH_Mérleg2019'!D75+'1.3.mell._HVÓBKI_Mérleg2019'!D75+'1.4.mell._HKK_Mérleg2019'!D75+'1.5._mell._MŐSZ_Mérleg2019'!D75+'1.6._mell._HVGYKCSSZ_Mérleg2019'!D75</f>
        <v>0</v>
      </c>
      <c r="E75" s="13">
        <f>+'1.1.mell._ÖNK_Mérleg2019'!E75+'1.2.mell._HKÖH_Mérleg2019'!E75+'1.3.mell._HVÓBKI_Mérleg2019'!E75+'1.4.mell._HKK_Mérleg2019'!E75+'1.5._mell._MŐSZ_Mérleg2019'!E75+'1.6._mell._HVGYKCSSZ_Mérleg2019'!E75</f>
        <v>0</v>
      </c>
      <c r="F75" s="16">
        <f>+'1.1.mell._ÖNK_Mérleg2019'!F75+'1.2.mell._HKÖH_Mérleg2019'!F75+'1.3.mell._HVÓBKI_Mérleg2019'!F75+'1.4.mell._HKK_Mérleg2019'!F75+'1.5._mell._MŐSZ_Mérleg2019'!F75+'1.6._mell._HVGYKCSSZ_Mérleg2019'!F75</f>
        <v>0</v>
      </c>
      <c r="H75" s="14">
        <f t="shared" ref="H75:H138" si="6">+C75-D75-E75-F75</f>
        <v>0</v>
      </c>
    </row>
    <row r="76" spans="1:8" s="14" customFormat="1">
      <c r="A76" s="102" t="s">
        <v>198</v>
      </c>
      <c r="B76" s="82" t="s">
        <v>248</v>
      </c>
      <c r="C76" s="24">
        <f t="shared" si="5"/>
        <v>2738772</v>
      </c>
      <c r="D76" s="20">
        <f>+'1.1.mell._ÖNK_Mérleg2019'!D76+'1.2.mell._HKÖH_Mérleg2019'!D76+'1.3.mell._HVÓBKI_Mérleg2019'!D76+'1.4.mell._HKK_Mérleg2019'!D76+'1.5._mell._MŐSZ_Mérleg2019'!D76+'1.6._mell._HVGYKCSSZ_Mérleg2019'!D76</f>
        <v>2738772</v>
      </c>
      <c r="E76" s="13">
        <f>+'1.1.mell._ÖNK_Mérleg2019'!E76+'1.2.mell._HKÖH_Mérleg2019'!E76+'1.3.mell._HVÓBKI_Mérleg2019'!E76+'1.4.mell._HKK_Mérleg2019'!E76+'1.5._mell._MŐSZ_Mérleg2019'!E76+'1.6._mell._HVGYKCSSZ_Mérleg2019'!E76</f>
        <v>0</v>
      </c>
      <c r="F76" s="16">
        <f>+'1.1.mell._ÖNK_Mérleg2019'!F76+'1.2.mell._HKÖH_Mérleg2019'!F76+'1.3.mell._HVÓBKI_Mérleg2019'!F76+'1.4.mell._HKK_Mérleg2019'!F76+'1.5._mell._MŐSZ_Mérleg2019'!F76+'1.6._mell._HVGYKCSSZ_Mérleg2019'!F76</f>
        <v>0</v>
      </c>
      <c r="H76" s="14">
        <f t="shared" si="6"/>
        <v>0</v>
      </c>
    </row>
    <row r="77" spans="1:8" s="14" customFormat="1">
      <c r="A77" s="102" t="s">
        <v>199</v>
      </c>
      <c r="B77" s="82" t="s">
        <v>249</v>
      </c>
      <c r="C77" s="24">
        <f t="shared" si="5"/>
        <v>0</v>
      </c>
      <c r="D77" s="20">
        <f>+'1.1.mell._ÖNK_Mérleg2019'!D77+'1.2.mell._HKÖH_Mérleg2019'!D77+'1.3.mell._HVÓBKI_Mérleg2019'!D77+'1.4.mell._HKK_Mérleg2019'!D77+'1.5._mell._MŐSZ_Mérleg2019'!D77+'1.6._mell._HVGYKCSSZ_Mérleg2019'!D77</f>
        <v>0</v>
      </c>
      <c r="E77" s="13">
        <f>+'1.1.mell._ÖNK_Mérleg2019'!E77+'1.2.mell._HKÖH_Mérleg2019'!E77+'1.3.mell._HVÓBKI_Mérleg2019'!E77+'1.4.mell._HKK_Mérleg2019'!E77+'1.5._mell._MŐSZ_Mérleg2019'!E77+'1.6._mell._HVGYKCSSZ_Mérleg2019'!E77</f>
        <v>0</v>
      </c>
      <c r="F77" s="16">
        <f>+'1.1.mell._ÖNK_Mérleg2019'!F77+'1.2.mell._HKÖH_Mérleg2019'!F77+'1.3.mell._HVÓBKI_Mérleg2019'!F77+'1.4.mell._HKK_Mérleg2019'!F77+'1.5._mell._MŐSZ_Mérleg2019'!F77+'1.6._mell._HVGYKCSSZ_Mérleg2019'!F77</f>
        <v>0</v>
      </c>
      <c r="H77" s="14">
        <f t="shared" si="6"/>
        <v>0</v>
      </c>
    </row>
    <row r="78" spans="1:8" s="14" customFormat="1">
      <c r="A78" s="102" t="s">
        <v>200</v>
      </c>
      <c r="B78" s="82" t="s">
        <v>250</v>
      </c>
      <c r="C78" s="24">
        <f t="shared" si="5"/>
        <v>0</v>
      </c>
      <c r="D78" s="20">
        <f>+'1.1.mell._ÖNK_Mérleg2019'!D78+'1.2.mell._HKÖH_Mérleg2019'!D78+'1.3.mell._HVÓBKI_Mérleg2019'!D78+'1.4.mell._HKK_Mérleg2019'!D78+'1.5._mell._MŐSZ_Mérleg2019'!D78+'1.6._mell._HVGYKCSSZ_Mérleg2019'!D78</f>
        <v>0</v>
      </c>
      <c r="E78" s="13">
        <f>+'1.1.mell._ÖNK_Mérleg2019'!E78+'1.2.mell._HKÖH_Mérleg2019'!E78+'1.3.mell._HVÓBKI_Mérleg2019'!E78+'1.4.mell._HKK_Mérleg2019'!E78+'1.5._mell._MŐSZ_Mérleg2019'!E78+'1.6._mell._HVGYKCSSZ_Mérleg2019'!E78</f>
        <v>0</v>
      </c>
      <c r="F78" s="16">
        <f>+'1.1.mell._ÖNK_Mérleg2019'!F78+'1.2.mell._HKÖH_Mérleg2019'!F78+'1.3.mell._HVÓBKI_Mérleg2019'!F78+'1.4.mell._HKK_Mérleg2019'!F78+'1.5._mell._MŐSZ_Mérleg2019'!F78+'1.6._mell._HVGYKCSSZ_Mérleg2019'!F78</f>
        <v>0</v>
      </c>
      <c r="H78" s="14">
        <f t="shared" si="6"/>
        <v>0</v>
      </c>
    </row>
    <row r="79" spans="1:8" s="14" customFormat="1">
      <c r="A79" s="121" t="s">
        <v>201</v>
      </c>
      <c r="B79" s="122" t="s">
        <v>251</v>
      </c>
      <c r="C79" s="123"/>
      <c r="D79" s="124"/>
      <c r="E79" s="125"/>
      <c r="F79" s="126"/>
      <c r="H79" s="140">
        <f t="shared" si="6"/>
        <v>0</v>
      </c>
    </row>
    <row r="80" spans="1:8" s="14" customFormat="1">
      <c r="A80" s="102" t="s">
        <v>204</v>
      </c>
      <c r="B80" s="82" t="s">
        <v>252</v>
      </c>
      <c r="C80" s="24">
        <f t="shared" si="5"/>
        <v>0</v>
      </c>
      <c r="D80" s="20">
        <f>+'1.1.mell._ÖNK_Mérleg2019'!D80+'1.2.mell._HKÖH_Mérleg2019'!D80+'1.3.mell._HVÓBKI_Mérleg2019'!D80+'1.4.mell._HKK_Mérleg2019'!D80+'1.5._mell._MŐSZ_Mérleg2019'!D80+'1.6._mell._HVGYKCSSZ_Mérleg2019'!D80</f>
        <v>0</v>
      </c>
      <c r="E80" s="13">
        <f>+'1.1.mell._ÖNK_Mérleg2019'!E80+'1.2.mell._HKÖH_Mérleg2019'!E80+'1.3.mell._HVÓBKI_Mérleg2019'!E80+'1.4.mell._HKK_Mérleg2019'!E80+'1.5._mell._MŐSZ_Mérleg2019'!E80+'1.6._mell._HVGYKCSSZ_Mérleg2019'!E80</f>
        <v>0</v>
      </c>
      <c r="F80" s="16">
        <f>+'1.1.mell._ÖNK_Mérleg2019'!F80+'1.2.mell._HKÖH_Mérleg2019'!F80+'1.3.mell._HVÓBKI_Mérleg2019'!F80+'1.4.mell._HKK_Mérleg2019'!F80+'1.5._mell._MŐSZ_Mérleg2019'!F80+'1.6._mell._HVGYKCSSZ_Mérleg2019'!F80</f>
        <v>0</v>
      </c>
      <c r="H80" s="140">
        <f t="shared" si="6"/>
        <v>0</v>
      </c>
    </row>
    <row r="81" spans="1:8" s="14" customFormat="1">
      <c r="A81" s="102" t="s">
        <v>202</v>
      </c>
      <c r="B81" s="82" t="s">
        <v>245</v>
      </c>
      <c r="C81" s="24">
        <f t="shared" si="5"/>
        <v>0</v>
      </c>
      <c r="D81" s="20">
        <f>+'1.1.mell._ÖNK_Mérleg2019'!D81+'1.2.mell._HKÖH_Mérleg2019'!D81+'1.3.mell._HVÓBKI_Mérleg2019'!D81+'1.4.mell._HKK_Mérleg2019'!D81+'1.5._mell._MŐSZ_Mérleg2019'!D81+'1.6._mell._HVGYKCSSZ_Mérleg2019'!D81</f>
        <v>0</v>
      </c>
      <c r="E81" s="13">
        <f>+'1.1.mell._ÖNK_Mérleg2019'!E81+'1.2.mell._HKÖH_Mérleg2019'!E81+'1.3.mell._HVÓBKI_Mérleg2019'!E81+'1.4.mell._HKK_Mérleg2019'!E81+'1.5._mell._MŐSZ_Mérleg2019'!E81+'1.6._mell._HVGYKCSSZ_Mérleg2019'!E81</f>
        <v>0</v>
      </c>
      <c r="F81" s="16">
        <f>+'1.1.mell._ÖNK_Mérleg2019'!F81+'1.2.mell._HKÖH_Mérleg2019'!F81+'1.3.mell._HVÓBKI_Mérleg2019'!F81+'1.4.mell._HKK_Mérleg2019'!F81+'1.5._mell._MŐSZ_Mérleg2019'!F81+'1.6._mell._HVGYKCSSZ_Mérleg2019'!F81</f>
        <v>0</v>
      </c>
      <c r="H81" s="140">
        <f t="shared" si="6"/>
        <v>0</v>
      </c>
    </row>
    <row r="82" spans="1:8" s="14" customFormat="1">
      <c r="A82" s="102" t="s">
        <v>922</v>
      </c>
      <c r="B82" s="82" t="s">
        <v>923</v>
      </c>
      <c r="C82" s="24">
        <f>+D82+E82+F82</f>
        <v>0</v>
      </c>
      <c r="D82" s="20">
        <f>+'1.1.mell._ÖNK_Mérleg2019'!D82+'1.2.mell._HKÖH_Mérleg2019'!D82+'1.3.mell._HVÓBKI_Mérleg2019'!D82+'1.4.mell._HKK_Mérleg2019'!D82+'1.5._mell._MŐSZ_Mérleg2019'!D82+'1.6._mell._HVGYKCSSZ_Mérleg2019'!D82</f>
        <v>0</v>
      </c>
      <c r="E82" s="13">
        <f>+'1.1.mell._ÖNK_Mérleg2019'!E82+'1.2.mell._HKÖH_Mérleg2019'!E82+'1.3.mell._HVÓBKI_Mérleg2019'!E82+'1.4.mell._HKK_Mérleg2019'!E82+'1.5._mell._MŐSZ_Mérleg2019'!E82+'1.6._mell._HVGYKCSSZ_Mérleg2019'!E82</f>
        <v>0</v>
      </c>
      <c r="F82" s="16">
        <f>+'1.1.mell._ÖNK_Mérleg2019'!F82+'1.2.mell._HKÖH_Mérleg2019'!F82+'1.3.mell._HVÓBKI_Mérleg2019'!F82+'1.4.mell._HKK_Mérleg2019'!F82+'1.5._mell._MŐSZ_Mérleg2019'!F82+'1.6._mell._HVGYKCSSZ_Mérleg2019'!F82</f>
        <v>0</v>
      </c>
      <c r="H82" s="140">
        <f t="shared" si="6"/>
        <v>0</v>
      </c>
    </row>
    <row r="83" spans="1:8">
      <c r="A83" s="101" t="s">
        <v>74</v>
      </c>
      <c r="B83" s="83" t="s">
        <v>243</v>
      </c>
      <c r="C83" s="23">
        <f t="shared" si="5"/>
        <v>0</v>
      </c>
      <c r="D83" s="21">
        <f>+'1.1.mell._ÖNK_Mérleg2019'!D83+'1.2.mell._HKÖH_Mérleg2019'!D83+'1.3.mell._HVÓBKI_Mérleg2019'!D83+'1.4.mell._HKK_Mérleg2019'!D83+'1.5._mell._MŐSZ_Mérleg2019'!D83+'1.6._mell._HVGYKCSSZ_Mérleg2019'!D83</f>
        <v>0</v>
      </c>
      <c r="E83" s="12">
        <f>+'1.1.mell._ÖNK_Mérleg2019'!E83+'1.2.mell._HKÖH_Mérleg2019'!E83+'1.3.mell._HVÓBKI_Mérleg2019'!E83+'1.4.mell._HKK_Mérleg2019'!E83+'1.5._mell._MŐSZ_Mérleg2019'!E83+'1.6._mell._HVGYKCSSZ_Mérleg2019'!E83</f>
        <v>0</v>
      </c>
      <c r="F83" s="17">
        <f>+'1.1.mell._ÖNK_Mérleg2019'!F83+'1.2.mell._HKÖH_Mérleg2019'!F83+'1.3.mell._HVÓBKI_Mérleg2019'!F83+'1.4.mell._HKK_Mérleg2019'!F83+'1.5._mell._MŐSZ_Mérleg2019'!F83+'1.6._mell._HVGYKCSSZ_Mérleg2019'!F83</f>
        <v>0</v>
      </c>
      <c r="H83" s="141">
        <f t="shared" si="6"/>
        <v>0</v>
      </c>
    </row>
    <row r="84" spans="1:8">
      <c r="A84" s="94" t="s">
        <v>203</v>
      </c>
      <c r="B84" s="84" t="s">
        <v>244</v>
      </c>
      <c r="C84" s="26">
        <f t="shared" si="5"/>
        <v>0</v>
      </c>
      <c r="D84" s="27">
        <f>+'1.1.mell._ÖNK_Mérleg2019'!D84+'1.2.mell._HKÖH_Mérleg2019'!D84+'1.3.mell._HVÓBKI_Mérleg2019'!D84+'1.4.mell._HKK_Mérleg2019'!D84+'1.5._mell._MŐSZ_Mérleg2019'!D84+'1.6._mell._HVGYKCSSZ_Mérleg2019'!D84</f>
        <v>0</v>
      </c>
      <c r="E84" s="28">
        <f>+'1.1.mell._ÖNK_Mérleg2019'!E84+'1.2.mell._HKÖH_Mérleg2019'!E84+'1.3.mell._HVÓBKI_Mérleg2019'!E84+'1.4.mell._HKK_Mérleg2019'!E84+'1.5._mell._MŐSZ_Mérleg2019'!E84+'1.6._mell._HVGYKCSSZ_Mérleg2019'!E84</f>
        <v>0</v>
      </c>
      <c r="F84" s="29">
        <f>+'1.1.mell._ÖNK_Mérleg2019'!F84+'1.2.mell._HKÖH_Mérleg2019'!F84+'1.3.mell._HVÓBKI_Mérleg2019'!F84+'1.4.mell._HKK_Mérleg2019'!F84+'1.5._mell._MŐSZ_Mérleg2019'!F84+'1.6._mell._HVGYKCSSZ_Mérleg2019'!F84</f>
        <v>0</v>
      </c>
      <c r="H84" s="141">
        <f t="shared" si="6"/>
        <v>0</v>
      </c>
    </row>
    <row r="85" spans="1:8" ht="12.75" thickBot="1">
      <c r="A85" s="94" t="s">
        <v>924</v>
      </c>
      <c r="B85" s="84" t="s">
        <v>925</v>
      </c>
      <c r="C85" s="26">
        <f>+D85+E85+F85</f>
        <v>0</v>
      </c>
      <c r="D85" s="27">
        <f>+'1.1.mell._ÖNK_Mérleg2019'!D85+'1.2.mell._HKÖH_Mérleg2019'!D85+'1.3.mell._HVÓBKI_Mérleg2019'!D85+'1.4.mell._HKK_Mérleg2019'!D85+'1.5._mell._MŐSZ_Mérleg2019'!D85+'1.6._mell._HVGYKCSSZ_Mérleg2019'!D85</f>
        <v>0</v>
      </c>
      <c r="E85" s="28">
        <f>+'1.1.mell._ÖNK_Mérleg2019'!E85+'1.2.mell._HKÖH_Mérleg2019'!E85+'1.3.mell._HVÓBKI_Mérleg2019'!E85+'1.4.mell._HKK_Mérleg2019'!E85+'1.5._mell._MŐSZ_Mérleg2019'!E85+'1.6._mell._HVGYKCSSZ_Mérleg2019'!E85</f>
        <v>0</v>
      </c>
      <c r="F85" s="29">
        <f>+'1.1.mell._ÖNK_Mérleg2019'!F85+'1.2.mell._HKÖH_Mérleg2019'!F85+'1.3.mell._HVÓBKI_Mérleg2019'!F85+'1.4.mell._HKK_Mérleg2019'!F85+'1.5._mell._MŐSZ_Mérleg2019'!F85+'1.6._mell._HVGYKCSSZ_Mérleg2019'!F85</f>
        <v>0</v>
      </c>
      <c r="H85" s="141">
        <f t="shared" si="6"/>
        <v>0</v>
      </c>
    </row>
    <row r="86" spans="1:8" s="3" customFormat="1" ht="12.75" thickBot="1">
      <c r="A86" s="99" t="s">
        <v>45</v>
      </c>
      <c r="B86" s="86" t="s">
        <v>305</v>
      </c>
      <c r="C86" s="44">
        <f>+C87</f>
        <v>9999</v>
      </c>
      <c r="D86" s="33">
        <f>+D87</f>
        <v>9999</v>
      </c>
      <c r="E86" s="34">
        <f>+E87</f>
        <v>0</v>
      </c>
      <c r="F86" s="35">
        <f>+F87</f>
        <v>0</v>
      </c>
      <c r="G86" s="741">
        <f>+C86/$C$102</f>
        <v>2.1627787911409776E-3</v>
      </c>
      <c r="H86" s="143">
        <f t="shared" si="6"/>
        <v>0</v>
      </c>
    </row>
    <row r="87" spans="1:8" s="3" customFormat="1" ht="12.75" thickBot="1">
      <c r="A87" s="99" t="s">
        <v>44</v>
      </c>
      <c r="B87" s="80" t="s">
        <v>928</v>
      </c>
      <c r="C87" s="44">
        <f>+C88+C98+C99+C100</f>
        <v>9999</v>
      </c>
      <c r="D87" s="33">
        <f>+D88+D98+D99+D100</f>
        <v>9999</v>
      </c>
      <c r="E87" s="34">
        <f>+E88+E98+E99+E100</f>
        <v>0</v>
      </c>
      <c r="F87" s="35">
        <f>+F88+F98+F99+F100</f>
        <v>0</v>
      </c>
      <c r="G87" s="741">
        <f>+C87/$C$102</f>
        <v>2.1627787911409776E-3</v>
      </c>
      <c r="H87" s="143">
        <f t="shared" si="6"/>
        <v>0</v>
      </c>
    </row>
    <row r="88" spans="1:8">
      <c r="A88" s="100" t="s">
        <v>232</v>
      </c>
      <c r="B88" s="81" t="s">
        <v>983</v>
      </c>
      <c r="C88" s="36">
        <f>+C89+C90+C91+C92+C93+C94+C95+C96+C97</f>
        <v>9999</v>
      </c>
      <c r="D88" s="41">
        <f>+D89+D90+D91+D92+D93+D94+D95+D96+D97</f>
        <v>9999</v>
      </c>
      <c r="E88" s="11">
        <f>+E89+E90+E91+E92+E93+E94+E95+E96+E97</f>
        <v>0</v>
      </c>
      <c r="F88" s="42">
        <f>+F89+F90+F91+F92+F93+F94+F95+F96+F97</f>
        <v>0</v>
      </c>
      <c r="H88" s="141">
        <f t="shared" si="6"/>
        <v>0</v>
      </c>
    </row>
    <row r="89" spans="1:8" s="14" customFormat="1">
      <c r="A89" s="102" t="s">
        <v>233</v>
      </c>
      <c r="B89" s="82" t="s">
        <v>920</v>
      </c>
      <c r="C89" s="24">
        <f t="shared" ref="C89:C99" si="7">+D89+E89+F89</f>
        <v>9999</v>
      </c>
      <c r="D89" s="20">
        <f>+'1.1.mell._ÖNK_Mérleg2019'!D89+'1.2.mell._HKÖH_Mérleg2019'!D89+'1.3.mell._HVÓBKI_Mérleg2019'!D89+'1.4.mell._HKK_Mérleg2019'!D89+'1.5._mell._MŐSZ_Mérleg2019'!D89+'1.6._mell._HVGYKCSSZ_Mérleg2019'!D89</f>
        <v>9999</v>
      </c>
      <c r="E89" s="13">
        <f>+'1.1.mell._ÖNK_Mérleg2019'!E89+'1.2.mell._HKÖH_Mérleg2019'!E89+'1.3.mell._HVÓBKI_Mérleg2019'!E89+'1.4.mell._HKK_Mérleg2019'!E89+'1.5._mell._MŐSZ_Mérleg2019'!E89+'1.6._mell._HVGYKCSSZ_Mérleg2019'!E89</f>
        <v>0</v>
      </c>
      <c r="F89" s="16">
        <f>+'1.1.mell._ÖNK_Mérleg2019'!F89+'1.2.mell._HKÖH_Mérleg2019'!F89+'1.3.mell._HVÓBKI_Mérleg2019'!F89+'1.4.mell._HKK_Mérleg2019'!F89+'1.5._mell._MŐSZ_Mérleg2019'!F89+'1.6._mell._HVGYKCSSZ_Mérleg2019'!F89</f>
        <v>0</v>
      </c>
      <c r="H89" s="140">
        <f t="shared" si="6"/>
        <v>0</v>
      </c>
    </row>
    <row r="90" spans="1:8" s="14" customFormat="1">
      <c r="A90" s="102" t="s">
        <v>234</v>
      </c>
      <c r="B90" s="82" t="s">
        <v>247</v>
      </c>
      <c r="C90" s="24">
        <f t="shared" si="7"/>
        <v>0</v>
      </c>
      <c r="D90" s="20">
        <f>+'1.1.mell._ÖNK_Mérleg2019'!D90+'1.2.mell._HKÖH_Mérleg2019'!D90+'1.3.mell._HVÓBKI_Mérleg2019'!D90+'1.4.mell._HKK_Mérleg2019'!D90+'1.5._mell._MŐSZ_Mérleg2019'!D90+'1.6._mell._HVGYKCSSZ_Mérleg2019'!D90</f>
        <v>0</v>
      </c>
      <c r="E90" s="13">
        <f>+'1.1.mell._ÖNK_Mérleg2019'!E90+'1.2.mell._HKÖH_Mérleg2019'!E90+'1.3.mell._HVÓBKI_Mérleg2019'!E90+'1.4.mell._HKK_Mérleg2019'!E90+'1.5._mell._MŐSZ_Mérleg2019'!E90+'1.6._mell._HVGYKCSSZ_Mérleg2019'!E90</f>
        <v>0</v>
      </c>
      <c r="F90" s="16">
        <f>+'1.1.mell._ÖNK_Mérleg2019'!F90+'1.2.mell._HKÖH_Mérleg2019'!F90+'1.3.mell._HVÓBKI_Mérleg2019'!F90+'1.4.mell._HKK_Mérleg2019'!F90+'1.5._mell._MŐSZ_Mérleg2019'!F90+'1.6._mell._HVGYKCSSZ_Mérleg2019'!F90</f>
        <v>0</v>
      </c>
      <c r="H90" s="140">
        <f t="shared" si="6"/>
        <v>0</v>
      </c>
    </row>
    <row r="91" spans="1:8" s="14" customFormat="1">
      <c r="A91" s="102" t="s">
        <v>235</v>
      </c>
      <c r="B91" s="82" t="s">
        <v>248</v>
      </c>
      <c r="C91" s="24">
        <f t="shared" si="7"/>
        <v>0</v>
      </c>
      <c r="D91" s="20">
        <f>+'1.1.mell._ÖNK_Mérleg2019'!D91+'1.2.mell._HKÖH_Mérleg2019'!D91+'1.3.mell._HVÓBKI_Mérleg2019'!D91+'1.4.mell._HKK_Mérleg2019'!D91+'1.5._mell._MŐSZ_Mérleg2019'!D91+'1.6._mell._HVGYKCSSZ_Mérleg2019'!D91</f>
        <v>0</v>
      </c>
      <c r="E91" s="13">
        <f>+'1.1.mell._ÖNK_Mérleg2019'!E91+'1.2.mell._HKÖH_Mérleg2019'!E91+'1.3.mell._HVÓBKI_Mérleg2019'!E91+'1.4.mell._HKK_Mérleg2019'!E91+'1.5._mell._MŐSZ_Mérleg2019'!E91+'1.6._mell._HVGYKCSSZ_Mérleg2019'!E91</f>
        <v>0</v>
      </c>
      <c r="F91" s="16">
        <f>+'1.1.mell._ÖNK_Mérleg2019'!F91+'1.2.mell._HKÖH_Mérleg2019'!F91+'1.3.mell._HVÓBKI_Mérleg2019'!F91+'1.4.mell._HKK_Mérleg2019'!F91+'1.5._mell._MŐSZ_Mérleg2019'!F91+'1.6._mell._HVGYKCSSZ_Mérleg2019'!F91</f>
        <v>0</v>
      </c>
      <c r="H91" s="140">
        <f t="shared" si="6"/>
        <v>0</v>
      </c>
    </row>
    <row r="92" spans="1:8" s="14" customFormat="1">
      <c r="A92" s="102" t="s">
        <v>236</v>
      </c>
      <c r="B92" s="82" t="s">
        <v>249</v>
      </c>
      <c r="C92" s="24">
        <f t="shared" si="7"/>
        <v>0</v>
      </c>
      <c r="D92" s="20">
        <f>+'1.1.mell._ÖNK_Mérleg2019'!D92+'1.2.mell._HKÖH_Mérleg2019'!D92+'1.3.mell._HVÓBKI_Mérleg2019'!D92+'1.4.mell._HKK_Mérleg2019'!D92+'1.5._mell._MŐSZ_Mérleg2019'!D92+'1.6._mell._HVGYKCSSZ_Mérleg2019'!D92</f>
        <v>0</v>
      </c>
      <c r="E92" s="13">
        <f>+'1.1.mell._ÖNK_Mérleg2019'!E92+'1.2.mell._HKÖH_Mérleg2019'!E92+'1.3.mell._HVÓBKI_Mérleg2019'!E92+'1.4.mell._HKK_Mérleg2019'!E92+'1.5._mell._MŐSZ_Mérleg2019'!E92+'1.6._mell._HVGYKCSSZ_Mérleg2019'!E92</f>
        <v>0</v>
      </c>
      <c r="F92" s="16">
        <f>+'1.1.mell._ÖNK_Mérleg2019'!F92+'1.2.mell._HKÖH_Mérleg2019'!F92+'1.3.mell._HVÓBKI_Mérleg2019'!F92+'1.4.mell._HKK_Mérleg2019'!F92+'1.5._mell._MŐSZ_Mérleg2019'!F92+'1.6._mell._HVGYKCSSZ_Mérleg2019'!F92</f>
        <v>0</v>
      </c>
      <c r="H92" s="140">
        <f t="shared" si="6"/>
        <v>0</v>
      </c>
    </row>
    <row r="93" spans="1:8" s="14" customFormat="1">
      <c r="A93" s="102" t="s">
        <v>237</v>
      </c>
      <c r="B93" s="82" t="s">
        <v>250</v>
      </c>
      <c r="C93" s="24">
        <f t="shared" si="7"/>
        <v>0</v>
      </c>
      <c r="D93" s="20">
        <f>+'1.1.mell._ÖNK_Mérleg2019'!D93+'1.2.mell._HKÖH_Mérleg2019'!D93+'1.3.mell._HVÓBKI_Mérleg2019'!D93+'1.4.mell._HKK_Mérleg2019'!D93+'1.5._mell._MŐSZ_Mérleg2019'!D93+'1.6._mell._HVGYKCSSZ_Mérleg2019'!D93</f>
        <v>0</v>
      </c>
      <c r="E93" s="13">
        <f>+'1.1.mell._ÖNK_Mérleg2019'!E93+'1.2.mell._HKÖH_Mérleg2019'!E93+'1.3.mell._HVÓBKI_Mérleg2019'!E93+'1.4.mell._HKK_Mérleg2019'!E93+'1.5._mell._MŐSZ_Mérleg2019'!E93+'1.6._mell._HVGYKCSSZ_Mérleg2019'!E93</f>
        <v>0</v>
      </c>
      <c r="F93" s="16">
        <f>+'1.1.mell._ÖNK_Mérleg2019'!F93+'1.2.mell._HKÖH_Mérleg2019'!F93+'1.3.mell._HVÓBKI_Mérleg2019'!F93+'1.4.mell._HKK_Mérleg2019'!F93+'1.5._mell._MŐSZ_Mérleg2019'!F93+'1.6._mell._HVGYKCSSZ_Mérleg2019'!F93</f>
        <v>0</v>
      </c>
      <c r="H93" s="140">
        <f t="shared" si="6"/>
        <v>0</v>
      </c>
    </row>
    <row r="94" spans="1:8" s="14" customFormat="1">
      <c r="A94" s="121" t="s">
        <v>238</v>
      </c>
      <c r="B94" s="122" t="s">
        <v>251</v>
      </c>
      <c r="C94" s="123"/>
      <c r="D94" s="124"/>
      <c r="E94" s="125"/>
      <c r="F94" s="126"/>
      <c r="H94" s="140">
        <f t="shared" si="6"/>
        <v>0</v>
      </c>
    </row>
    <row r="95" spans="1:8" s="14" customFormat="1">
      <c r="A95" s="102" t="s">
        <v>239</v>
      </c>
      <c r="B95" s="82" t="s">
        <v>252</v>
      </c>
      <c r="C95" s="24">
        <f t="shared" si="7"/>
        <v>0</v>
      </c>
      <c r="D95" s="20">
        <f>+'1.1.mell._ÖNK_Mérleg2019'!D95+'1.2.mell._HKÖH_Mérleg2019'!D95+'1.3.mell._HVÓBKI_Mérleg2019'!D95+'1.4.mell._HKK_Mérleg2019'!D95+'1.5._mell._MŐSZ_Mérleg2019'!D95+'1.6._mell._HVGYKCSSZ_Mérleg2019'!D95</f>
        <v>0</v>
      </c>
      <c r="E95" s="13">
        <f>+'1.1.mell._ÖNK_Mérleg2019'!E95+'1.2.mell._HKÖH_Mérleg2019'!E95+'1.3.mell._HVÓBKI_Mérleg2019'!E95+'1.4.mell._HKK_Mérleg2019'!E95+'1.5._mell._MŐSZ_Mérleg2019'!E95+'1.6._mell._HVGYKCSSZ_Mérleg2019'!E95</f>
        <v>0</v>
      </c>
      <c r="F95" s="16">
        <f>+'1.1.mell._ÖNK_Mérleg2019'!F95+'1.2.mell._HKÖH_Mérleg2019'!F95+'1.3.mell._HVÓBKI_Mérleg2019'!F95+'1.4.mell._HKK_Mérleg2019'!F95+'1.5._mell._MŐSZ_Mérleg2019'!F95+'1.6._mell._HVGYKCSSZ_Mérleg2019'!F95</f>
        <v>0</v>
      </c>
      <c r="H95" s="14">
        <f t="shared" si="6"/>
        <v>0</v>
      </c>
    </row>
    <row r="96" spans="1:8" s="14" customFormat="1">
      <c r="A96" s="102" t="s">
        <v>240</v>
      </c>
      <c r="B96" s="82" t="s">
        <v>245</v>
      </c>
      <c r="C96" s="24">
        <f t="shared" si="7"/>
        <v>0</v>
      </c>
      <c r="D96" s="20">
        <f>+'1.1.mell._ÖNK_Mérleg2019'!D96+'1.2.mell._HKÖH_Mérleg2019'!D96+'1.3.mell._HVÓBKI_Mérleg2019'!D96+'1.4.mell._HKK_Mérleg2019'!D96+'1.5._mell._MŐSZ_Mérleg2019'!D96+'1.6._mell._HVGYKCSSZ_Mérleg2019'!D96</f>
        <v>0</v>
      </c>
      <c r="E96" s="13">
        <f>+'1.1.mell._ÖNK_Mérleg2019'!E96+'1.2.mell._HKÖH_Mérleg2019'!E96+'1.3.mell._HVÓBKI_Mérleg2019'!E96+'1.4.mell._HKK_Mérleg2019'!E96+'1.5._mell._MŐSZ_Mérleg2019'!E96+'1.6._mell._HVGYKCSSZ_Mérleg2019'!E96</f>
        <v>0</v>
      </c>
      <c r="F96" s="16">
        <f>+'1.1.mell._ÖNK_Mérleg2019'!F96+'1.2.mell._HKÖH_Mérleg2019'!F96+'1.3.mell._HVÓBKI_Mérleg2019'!F96+'1.4.mell._HKK_Mérleg2019'!F96+'1.5._mell._MŐSZ_Mérleg2019'!F96+'1.6._mell._HVGYKCSSZ_Mérleg2019'!F96</f>
        <v>0</v>
      </c>
      <c r="H96" s="14">
        <f t="shared" si="6"/>
        <v>0</v>
      </c>
    </row>
    <row r="97" spans="1:8" s="14" customFormat="1">
      <c r="A97" s="102" t="s">
        <v>927</v>
      </c>
      <c r="B97" s="82" t="s">
        <v>923</v>
      </c>
      <c r="C97" s="24">
        <f>+D97+E97+F97</f>
        <v>0</v>
      </c>
      <c r="D97" s="20">
        <f>+'1.1.mell._ÖNK_Mérleg2019'!D97+'1.2.mell._HKÖH_Mérleg2019'!D97+'1.3.mell._HVÓBKI_Mérleg2019'!D97+'1.4.mell._HKK_Mérleg2019'!D97+'1.5._mell._MŐSZ_Mérleg2019'!D97+'1.6._mell._HVGYKCSSZ_Mérleg2019'!D97</f>
        <v>0</v>
      </c>
      <c r="E97" s="13">
        <f>+'1.1.mell._ÖNK_Mérleg2019'!E97+'1.2.mell._HKÖH_Mérleg2019'!E97+'1.3.mell._HVÓBKI_Mérleg2019'!E97+'1.4.mell._HKK_Mérleg2019'!E97+'1.5._mell._MŐSZ_Mérleg2019'!E97+'1.6._mell._HVGYKCSSZ_Mérleg2019'!E97</f>
        <v>0</v>
      </c>
      <c r="F97" s="16">
        <f>+'1.1.mell._ÖNK_Mérleg2019'!F97+'1.2.mell._HKÖH_Mérleg2019'!F97+'1.3.mell._HVÓBKI_Mérleg2019'!F97+'1.4.mell._HKK_Mérleg2019'!F97+'1.5._mell._MŐSZ_Mérleg2019'!F97+'1.6._mell._HVGYKCSSZ_Mérleg2019'!F97</f>
        <v>0</v>
      </c>
      <c r="H97" s="14">
        <f t="shared" si="6"/>
        <v>0</v>
      </c>
    </row>
    <row r="98" spans="1:8">
      <c r="A98" s="101" t="s">
        <v>241</v>
      </c>
      <c r="B98" s="83" t="s">
        <v>243</v>
      </c>
      <c r="C98" s="23">
        <f t="shared" si="7"/>
        <v>0</v>
      </c>
      <c r="D98" s="21">
        <f>+'1.1.mell._ÖNK_Mérleg2019'!D98+'1.2.mell._HKÖH_Mérleg2019'!D98+'1.3.mell._HVÓBKI_Mérleg2019'!D98+'1.4.mell._HKK_Mérleg2019'!D98+'1.5._mell._MŐSZ_Mérleg2019'!D98+'1.6._mell._HVGYKCSSZ_Mérleg2019'!D98</f>
        <v>0</v>
      </c>
      <c r="E98" s="12">
        <f>+'1.1.mell._ÖNK_Mérleg2019'!E98+'1.2.mell._HKÖH_Mérleg2019'!E98+'1.3.mell._HVÓBKI_Mérleg2019'!E98+'1.4.mell._HKK_Mérleg2019'!E98+'1.5._mell._MŐSZ_Mérleg2019'!E98+'1.6._mell._HVGYKCSSZ_Mérleg2019'!E98</f>
        <v>0</v>
      </c>
      <c r="F98" s="17">
        <f>+'1.1.mell._ÖNK_Mérleg2019'!F98+'1.2.mell._HKÖH_Mérleg2019'!F98+'1.3.mell._HVÓBKI_Mérleg2019'!F98+'1.4.mell._HKK_Mérleg2019'!F98+'1.5._mell._MŐSZ_Mérleg2019'!F98+'1.6._mell._HVGYKCSSZ_Mérleg2019'!F98</f>
        <v>0</v>
      </c>
      <c r="H98" s="4">
        <f t="shared" si="6"/>
        <v>0</v>
      </c>
    </row>
    <row r="99" spans="1:8">
      <c r="A99" s="94" t="s">
        <v>242</v>
      </c>
      <c r="B99" s="84" t="s">
        <v>244</v>
      </c>
      <c r="C99" s="26">
        <f t="shared" si="7"/>
        <v>0</v>
      </c>
      <c r="D99" s="27">
        <f>+'1.1.mell._ÖNK_Mérleg2019'!D99+'1.2.mell._HKÖH_Mérleg2019'!D99+'1.3.mell._HVÓBKI_Mérleg2019'!D99+'1.4.mell._HKK_Mérleg2019'!D99+'1.5._mell._MŐSZ_Mérleg2019'!D99+'1.6._mell._HVGYKCSSZ_Mérleg2019'!D99</f>
        <v>0</v>
      </c>
      <c r="E99" s="28">
        <f>+'1.1.mell._ÖNK_Mérleg2019'!E99+'1.2.mell._HKÖH_Mérleg2019'!E99+'1.3.mell._HVÓBKI_Mérleg2019'!E99+'1.4.mell._HKK_Mérleg2019'!E99+'1.5._mell._MŐSZ_Mérleg2019'!E99+'1.6._mell._HVGYKCSSZ_Mérleg2019'!E99</f>
        <v>0</v>
      </c>
      <c r="F99" s="29">
        <f>+'1.1.mell._ÖNK_Mérleg2019'!F99+'1.2.mell._HKÖH_Mérleg2019'!F99+'1.3.mell._HVÓBKI_Mérleg2019'!F99+'1.4.mell._HKK_Mérleg2019'!F99+'1.5._mell._MŐSZ_Mérleg2019'!F99+'1.6._mell._HVGYKCSSZ_Mérleg2019'!F99</f>
        <v>0</v>
      </c>
      <c r="H99" s="4">
        <f t="shared" si="6"/>
        <v>0</v>
      </c>
    </row>
    <row r="100" spans="1:8" ht="12.75" thickBot="1">
      <c r="A100" s="94" t="s">
        <v>929</v>
      </c>
      <c r="B100" s="84" t="s">
        <v>925</v>
      </c>
      <c r="C100" s="26">
        <f>+D100+E100+F100</f>
        <v>0</v>
      </c>
      <c r="D100" s="27">
        <f>+'1.1.mell._ÖNK_Mérleg2019'!D100+'1.2.mell._HKÖH_Mérleg2019'!D100+'1.3.mell._HVÓBKI_Mérleg2019'!D100+'1.4.mell._HKK_Mérleg2019'!D100+'1.5._mell._MŐSZ_Mérleg2019'!D100+'1.6._mell._HVGYKCSSZ_Mérleg2019'!D100</f>
        <v>0</v>
      </c>
      <c r="E100" s="28">
        <f>+'1.1.mell._ÖNK_Mérleg2019'!E100+'1.2.mell._HKÖH_Mérleg2019'!E100+'1.3.mell._HVÓBKI_Mérleg2019'!E100+'1.4.mell._HKK_Mérleg2019'!E100+'1.5._mell._MŐSZ_Mérleg2019'!E100+'1.6._mell._HVGYKCSSZ_Mérleg2019'!E100</f>
        <v>0</v>
      </c>
      <c r="F100" s="29">
        <f>+'1.1.mell._ÖNK_Mérleg2019'!F100+'1.2.mell._HKÖH_Mérleg2019'!F100+'1.3.mell._HVÓBKI_Mérleg2019'!F100+'1.4.mell._HKK_Mérleg2019'!F100+'1.5._mell._MŐSZ_Mérleg2019'!F100+'1.6._mell._HVGYKCSSZ_Mérleg2019'!F100</f>
        <v>0</v>
      </c>
      <c r="H100" s="4">
        <f t="shared" si="6"/>
        <v>0</v>
      </c>
    </row>
    <row r="101" spans="1:8" s="3" customFormat="1" ht="12.75" thickBot="1">
      <c r="A101" s="99" t="s">
        <v>43</v>
      </c>
      <c r="B101" s="85" t="s">
        <v>306</v>
      </c>
      <c r="C101" s="44">
        <f>+C71+C86</f>
        <v>2748771</v>
      </c>
      <c r="D101" s="33">
        <f>+D71+D86</f>
        <v>2748771</v>
      </c>
      <c r="E101" s="34">
        <f>+E71+E86</f>
        <v>0</v>
      </c>
      <c r="F101" s="35">
        <f>+F71+F86</f>
        <v>0</v>
      </c>
      <c r="G101" s="741">
        <f>+C101/$C$102</f>
        <v>0.59455781783212092</v>
      </c>
      <c r="H101" s="3">
        <f t="shared" si="6"/>
        <v>0</v>
      </c>
    </row>
    <row r="102" spans="1:8" s="3" customFormat="1" ht="12.75" thickBot="1">
      <c r="A102" s="103" t="s">
        <v>40</v>
      </c>
      <c r="B102" s="87" t="s">
        <v>307</v>
      </c>
      <c r="C102" s="45">
        <f>+C70+C101</f>
        <v>4623219</v>
      </c>
      <c r="D102" s="30">
        <f>+D70+D101</f>
        <v>4227059</v>
      </c>
      <c r="E102" s="31">
        <f>+E70+E101</f>
        <v>396160</v>
      </c>
      <c r="F102" s="32">
        <f>+F70+F101</f>
        <v>0</v>
      </c>
      <c r="G102" s="741">
        <f>+C102/$C$102</f>
        <v>1</v>
      </c>
      <c r="H102" s="3">
        <f t="shared" si="6"/>
        <v>0</v>
      </c>
    </row>
    <row r="103" spans="1:8" s="3" customFormat="1">
      <c r="A103" s="66"/>
      <c r="B103" s="37"/>
      <c r="D103" s="37"/>
      <c r="E103" s="37"/>
      <c r="F103" s="37"/>
      <c r="H103" s="903">
        <f>+C102-C208</f>
        <v>0</v>
      </c>
    </row>
    <row r="104" spans="1:8" s="3" customFormat="1">
      <c r="A104" s="66"/>
      <c r="B104" s="37"/>
      <c r="C104" s="37"/>
      <c r="D104" s="37"/>
      <c r="E104" s="37"/>
      <c r="F104" s="37"/>
    </row>
    <row r="105" spans="1:8" s="65" customFormat="1" ht="15.75">
      <c r="A105" s="1433" t="s">
        <v>80</v>
      </c>
      <c r="B105" s="1433"/>
      <c r="C105" s="1433"/>
      <c r="D105" s="1433"/>
      <c r="E105" s="1433"/>
      <c r="F105" s="1433"/>
    </row>
    <row r="106" spans="1:8" s="46" customFormat="1" ht="12.75" thickBot="1">
      <c r="A106" s="48" t="s">
        <v>279</v>
      </c>
      <c r="F106" s="47" t="s">
        <v>281</v>
      </c>
    </row>
    <row r="107" spans="1:8" s="3" customFormat="1" ht="48.75" thickBot="1">
      <c r="A107" s="95" t="s">
        <v>17</v>
      </c>
      <c r="B107" s="96" t="s">
        <v>329</v>
      </c>
      <c r="C107" s="49" t="s">
        <v>1317</v>
      </c>
      <c r="D107" s="6" t="s">
        <v>51</v>
      </c>
      <c r="E107" s="7" t="s">
        <v>52</v>
      </c>
      <c r="F107" s="8" t="s">
        <v>53</v>
      </c>
    </row>
    <row r="108" spans="1:8" s="3" customFormat="1" ht="12.75" thickBot="1">
      <c r="A108" s="97" t="s">
        <v>253</v>
      </c>
      <c r="B108" s="98" t="s">
        <v>254</v>
      </c>
      <c r="C108" s="1438" t="s">
        <v>255</v>
      </c>
      <c r="D108" s="1439"/>
      <c r="E108" s="1439"/>
      <c r="F108" s="1440"/>
    </row>
    <row r="109" spans="1:8" s="3" customFormat="1" ht="12.75" thickBot="1">
      <c r="A109" s="99" t="s">
        <v>4</v>
      </c>
      <c r="B109" s="85" t="s">
        <v>308</v>
      </c>
      <c r="C109" s="44">
        <f>+C110+C114+C116+C123+C132</f>
        <v>4110574</v>
      </c>
      <c r="D109" s="33">
        <f>+D110+D114+D116+D123+D132</f>
        <v>4049788</v>
      </c>
      <c r="E109" s="34">
        <f>+E110+E114+E116+E123+E132</f>
        <v>60786</v>
      </c>
      <c r="F109" s="35">
        <f>+F110+F114+F116+F123+F132</f>
        <v>0</v>
      </c>
      <c r="G109" s="741">
        <f>+C109/$C$208</f>
        <v>0.88911513817537091</v>
      </c>
      <c r="H109" s="3">
        <f t="shared" si="6"/>
        <v>0</v>
      </c>
    </row>
    <row r="110" spans="1:8" s="3" customFormat="1" ht="12.75" thickBot="1">
      <c r="A110" s="99" t="s">
        <v>5</v>
      </c>
      <c r="B110" s="80" t="s">
        <v>309</v>
      </c>
      <c r="C110" s="44">
        <f>+C112+C113</f>
        <v>655870</v>
      </c>
      <c r="D110" s="33">
        <f>+D112+D113</f>
        <v>632670</v>
      </c>
      <c r="E110" s="34">
        <f>+E112+E113</f>
        <v>23200</v>
      </c>
      <c r="F110" s="35">
        <f>+F112+F113</f>
        <v>0</v>
      </c>
      <c r="G110" s="741">
        <f>+C110/$C$208</f>
        <v>0.14186435901046435</v>
      </c>
      <c r="H110" s="3">
        <f t="shared" si="6"/>
        <v>0</v>
      </c>
    </row>
    <row r="111" spans="1:8" s="46" customFormat="1">
      <c r="A111" s="838" t="s">
        <v>349</v>
      </c>
      <c r="B111" s="839" t="s">
        <v>350</v>
      </c>
      <c r="C111" s="112">
        <f>+D111+E111+F111</f>
        <v>0</v>
      </c>
      <c r="D111" s="113">
        <f>+'1.1.mell._ÖNK_Mérleg2019'!D111+'1.2.mell._HKÖH_Mérleg2019'!D111+'1.3.mell._HVÓBKI_Mérleg2019'!D111+'1.4.mell._HKK_Mérleg2019'!D111+'1.5._mell._MŐSZ_Mérleg2019'!D111+'1.6._mell._HVGYKCSSZ_Mérleg2019'!D111</f>
        <v>0</v>
      </c>
      <c r="E111" s="114">
        <f>+'1.1.mell._ÖNK_Mérleg2019'!E111+'1.2.mell._HKÖH_Mérleg2019'!E111+'1.3.mell._HVÓBKI_Mérleg2019'!E111+'1.4.mell._HKK_Mérleg2019'!E111+'1.5._mell._MŐSZ_Mérleg2019'!E111+'1.6._mell._HVGYKCSSZ_Mérleg2019'!E111</f>
        <v>0</v>
      </c>
      <c r="F111" s="115">
        <f>+'1.1.mell._ÖNK_Mérleg2019'!F111+'1.2.mell._HKÖH_Mérleg2019'!F111+'1.3.mell._HVÓBKI_Mérleg2019'!F111+'1.4.mell._HKK_Mérleg2019'!F111+'1.5._mell._MŐSZ_Mérleg2019'!F111+'1.6._mell._HVGYKCSSZ_Mérleg2019'!F111</f>
        <v>0</v>
      </c>
      <c r="H111" s="46">
        <f t="shared" si="6"/>
        <v>0</v>
      </c>
    </row>
    <row r="112" spans="1:8">
      <c r="A112" s="100" t="s">
        <v>54</v>
      </c>
      <c r="B112" s="81" t="s">
        <v>127</v>
      </c>
      <c r="C112" s="36">
        <f>+D112+E112+F112</f>
        <v>620464</v>
      </c>
      <c r="D112" s="41">
        <f>+'1.1.mell._ÖNK_Mérleg2019'!D112+'1.2.mell._HKÖH_Mérleg2019'!D112+'1.3.mell._HVÓBKI_Mérleg2019'!D112+'1.4.mell._HKK_Mérleg2019'!D112+'1.5._mell._MŐSZ_Mérleg2019'!D112+'1.6._mell._HVGYKCSSZ_Mérleg2019'!D112</f>
        <v>597264</v>
      </c>
      <c r="E112" s="11">
        <f>+'1.1.mell._ÖNK_Mérleg2019'!E112+'1.2.mell._HKÖH_Mérleg2019'!E112+'1.3.mell._HVÓBKI_Mérleg2019'!E112+'1.4.mell._HKK_Mérleg2019'!E112+'1.5._mell._MŐSZ_Mérleg2019'!E112+'1.6._mell._HVGYKCSSZ_Mérleg2019'!E112</f>
        <v>23200</v>
      </c>
      <c r="F112" s="42">
        <f>+'1.1.mell._ÖNK_Mérleg2019'!F112+'1.2.mell._HKÖH_Mérleg2019'!F112+'1.3.mell._HVÓBKI_Mérleg2019'!F112+'1.4.mell._HKK_Mérleg2019'!F112+'1.5._mell._MŐSZ_Mérleg2019'!F112+'1.6._mell._HVGYKCSSZ_Mérleg2019'!F112</f>
        <v>0</v>
      </c>
      <c r="H112" s="4">
        <f t="shared" si="6"/>
        <v>0</v>
      </c>
    </row>
    <row r="113" spans="1:8" ht="12.75" thickBot="1">
      <c r="A113" s="94" t="s">
        <v>55</v>
      </c>
      <c r="B113" s="84" t="s">
        <v>128</v>
      </c>
      <c r="C113" s="26">
        <f>+D113+E113+F113</f>
        <v>35406</v>
      </c>
      <c r="D113" s="27">
        <f>+'1.1.mell._ÖNK_Mérleg2019'!D113+'1.2.mell._HKÖH_Mérleg2019'!D113+'1.3.mell._HVÓBKI_Mérleg2019'!D113+'1.4.mell._HKK_Mérleg2019'!D113+'1.5._mell._MŐSZ_Mérleg2019'!D113+'1.6._mell._HVGYKCSSZ_Mérleg2019'!D113</f>
        <v>35406</v>
      </c>
      <c r="E113" s="28">
        <f>+'1.1.mell._ÖNK_Mérleg2019'!E113+'1.2.mell._HKÖH_Mérleg2019'!E113+'1.3.mell._HVÓBKI_Mérleg2019'!E113+'1.4.mell._HKK_Mérleg2019'!E113+'1.5._mell._MŐSZ_Mérleg2019'!E113+'1.6._mell._HVGYKCSSZ_Mérleg2019'!E113</f>
        <v>0</v>
      </c>
      <c r="F113" s="29">
        <f>+'1.1.mell._ÖNK_Mérleg2019'!F113+'1.2.mell._HKÖH_Mérleg2019'!F113+'1.3.mell._HVÓBKI_Mérleg2019'!F113+'1.4.mell._HKK_Mérleg2019'!F113+'1.5._mell._MŐSZ_Mérleg2019'!F113+'1.6._mell._HVGYKCSSZ_Mérleg2019'!F113</f>
        <v>0</v>
      </c>
      <c r="H113" s="4">
        <f t="shared" si="6"/>
        <v>0</v>
      </c>
    </row>
    <row r="114" spans="1:8" s="3" customFormat="1" ht="12.75" thickBot="1">
      <c r="A114" s="99" t="s">
        <v>6</v>
      </c>
      <c r="B114" s="80" t="s">
        <v>256</v>
      </c>
      <c r="C114" s="44">
        <f>+D114+E114+F114</f>
        <v>131505</v>
      </c>
      <c r="D114" s="33">
        <f>+'1.1.mell._ÖNK_Mérleg2019'!D114+'1.2.mell._HKÖH_Mérleg2019'!D114+'1.3.mell._HVÓBKI_Mérleg2019'!D114+'1.4.mell._HKK_Mérleg2019'!D114+'1.5._mell._MŐSZ_Mérleg2019'!D114+'1.6._mell._HVGYKCSSZ_Mérleg2019'!D114</f>
        <v>127343</v>
      </c>
      <c r="E114" s="34">
        <f>+'1.1.mell._ÖNK_Mérleg2019'!E114+'1.2.mell._HKÖH_Mérleg2019'!E114+'1.3.mell._HVÓBKI_Mérleg2019'!E114+'1.4.mell._HKK_Mérleg2019'!E114+'1.5._mell._MŐSZ_Mérleg2019'!E114+'1.6._mell._HVGYKCSSZ_Mérleg2019'!E114</f>
        <v>4162</v>
      </c>
      <c r="F114" s="35">
        <f>+'1.1.mell._ÖNK_Mérleg2019'!F114+'1.2.mell._HKÖH_Mérleg2019'!F114+'1.3.mell._HVÓBKI_Mérleg2019'!F114+'1.4.mell._HKK_Mérleg2019'!F114+'1.5._mell._MŐSZ_Mérleg2019'!F114+'1.6._mell._HVGYKCSSZ_Mérleg2019'!F114</f>
        <v>0</v>
      </c>
      <c r="G114" s="741">
        <f>+C114/$C$208</f>
        <v>2.8444466939593387E-2</v>
      </c>
      <c r="H114" s="3">
        <f t="shared" si="6"/>
        <v>0</v>
      </c>
    </row>
    <row r="115" spans="1:8" s="46" customFormat="1" ht="12.75" thickBot="1">
      <c r="A115" s="838" t="s">
        <v>346</v>
      </c>
      <c r="B115" s="839" t="s">
        <v>347</v>
      </c>
      <c r="C115" s="112">
        <f>+D115+E115+F115</f>
        <v>0</v>
      </c>
      <c r="D115" s="113">
        <f>+'1.1.mell._ÖNK_Mérleg2019'!D115+'1.2.mell._HKÖH_Mérleg2019'!D115+'1.3.mell._HVÓBKI_Mérleg2019'!D115+'1.4.mell._HKK_Mérleg2019'!D115+'1.5._mell._MŐSZ_Mérleg2019'!D115+'1.6._mell._HVGYKCSSZ_Mérleg2019'!D115</f>
        <v>0</v>
      </c>
      <c r="E115" s="114">
        <f>+'1.1.mell._ÖNK_Mérleg2019'!E115+'1.2.mell._HKÖH_Mérleg2019'!E115+'1.3.mell._HVÓBKI_Mérleg2019'!E115+'1.4.mell._HKK_Mérleg2019'!E115+'1.5._mell._MŐSZ_Mérleg2019'!E115+'1.6._mell._HVGYKCSSZ_Mérleg2019'!E115</f>
        <v>0</v>
      </c>
      <c r="F115" s="115">
        <f>+'1.1.mell._ÖNK_Mérleg2019'!F115+'1.2.mell._HKÖH_Mérleg2019'!F115+'1.3.mell._HVÓBKI_Mérleg2019'!F115+'1.4.mell._HKK_Mérleg2019'!F115+'1.5._mell._MŐSZ_Mérleg2019'!F115+'1.6._mell._HVGYKCSSZ_Mérleg2019'!F115</f>
        <v>0</v>
      </c>
      <c r="H115" s="46">
        <f t="shared" si="6"/>
        <v>0</v>
      </c>
    </row>
    <row r="116" spans="1:8" s="3" customFormat="1" ht="12.75" thickBot="1">
      <c r="A116" s="99" t="s">
        <v>3</v>
      </c>
      <c r="B116" s="80" t="s">
        <v>343</v>
      </c>
      <c r="C116" s="44">
        <f>+C118+C119+C120+C121+C122</f>
        <v>391454</v>
      </c>
      <c r="D116" s="33">
        <f>+D118+D119+D120+D121+D122</f>
        <v>367358</v>
      </c>
      <c r="E116" s="34">
        <f>+E118+E119+E120+E121+E122</f>
        <v>24096</v>
      </c>
      <c r="F116" s="35">
        <f>+F118+F119+F120+F121+F122</f>
        <v>0</v>
      </c>
      <c r="G116" s="741">
        <f>+C116/$C$208</f>
        <v>8.4671308021532179E-2</v>
      </c>
      <c r="H116" s="3">
        <f t="shared" si="6"/>
        <v>0</v>
      </c>
    </row>
    <row r="117" spans="1:8" s="46" customFormat="1">
      <c r="A117" s="838" t="s">
        <v>341</v>
      </c>
      <c r="B117" s="839" t="s">
        <v>348</v>
      </c>
      <c r="C117" s="112">
        <f t="shared" ref="C117:C122" si="8">+D117+E117+F117</f>
        <v>0</v>
      </c>
      <c r="D117" s="113">
        <f>+'1.1.mell._ÖNK_Mérleg2019'!D117+'1.2.mell._HKÖH_Mérleg2019'!D117+'1.3.mell._HVÓBKI_Mérleg2019'!D117+'1.4.mell._HKK_Mérleg2019'!D117+'1.5._mell._MŐSZ_Mérleg2019'!D117+'1.6._mell._HVGYKCSSZ_Mérleg2019'!D117</f>
        <v>0</v>
      </c>
      <c r="E117" s="114">
        <f>+'1.1.mell._ÖNK_Mérleg2019'!E117+'1.2.mell._HKÖH_Mérleg2019'!E117+'1.3.mell._HVÓBKI_Mérleg2019'!E117+'1.4.mell._HKK_Mérleg2019'!E117+'1.5._mell._MŐSZ_Mérleg2019'!E117+'1.6._mell._HVGYKCSSZ_Mérleg2019'!E117</f>
        <v>0</v>
      </c>
      <c r="F117" s="115">
        <f>+'1.1.mell._ÖNK_Mérleg2019'!F117+'1.2.mell._HKÖH_Mérleg2019'!F117+'1.3.mell._HVÓBKI_Mérleg2019'!F117+'1.4.mell._HKK_Mérleg2019'!F117+'1.5._mell._MŐSZ_Mérleg2019'!F117+'1.6._mell._HVGYKCSSZ_Mérleg2019'!F117</f>
        <v>0</v>
      </c>
      <c r="H117" s="46">
        <f t="shared" si="6"/>
        <v>0</v>
      </c>
    </row>
    <row r="118" spans="1:8">
      <c r="A118" s="100" t="s">
        <v>61</v>
      </c>
      <c r="B118" s="81" t="s">
        <v>129</v>
      </c>
      <c r="C118" s="36">
        <f t="shared" si="8"/>
        <v>35803</v>
      </c>
      <c r="D118" s="41">
        <f>+'1.1.mell._ÖNK_Mérleg2019'!D118+'1.2.mell._HKÖH_Mérleg2019'!D118+'1.3.mell._HVÓBKI_Mérleg2019'!D118+'1.4.mell._HKK_Mérleg2019'!D118+'1.5._mell._MŐSZ_Mérleg2019'!D118+'1.6._mell._HVGYKCSSZ_Mérleg2019'!D118</f>
        <v>23015</v>
      </c>
      <c r="E118" s="11">
        <f>+'1.1.mell._ÖNK_Mérleg2019'!E118+'1.2.mell._HKÖH_Mérleg2019'!E118+'1.3.mell._HVÓBKI_Mérleg2019'!E118+'1.4.mell._HKK_Mérleg2019'!E118+'1.5._mell._MŐSZ_Mérleg2019'!E118+'1.6._mell._HVGYKCSSZ_Mérleg2019'!E118</f>
        <v>12788</v>
      </c>
      <c r="F118" s="42">
        <f>+'1.1.mell._ÖNK_Mérleg2019'!F118+'1.2.mell._HKÖH_Mérleg2019'!F118+'1.3.mell._HVÓBKI_Mérleg2019'!F118+'1.4.mell._HKK_Mérleg2019'!F118+'1.5._mell._MŐSZ_Mérleg2019'!F118+'1.6._mell._HVGYKCSSZ_Mérleg2019'!F118</f>
        <v>0</v>
      </c>
      <c r="H118" s="4">
        <f t="shared" si="6"/>
        <v>0</v>
      </c>
    </row>
    <row r="119" spans="1:8">
      <c r="A119" s="101" t="s">
        <v>62</v>
      </c>
      <c r="B119" s="83" t="s">
        <v>130</v>
      </c>
      <c r="C119" s="23">
        <f t="shared" si="8"/>
        <v>27174</v>
      </c>
      <c r="D119" s="21">
        <f>+'1.1.mell._ÖNK_Mérleg2019'!D119+'1.2.mell._HKÖH_Mérleg2019'!D119+'1.3.mell._HVÓBKI_Mérleg2019'!D119+'1.4.mell._HKK_Mérleg2019'!D119+'1.5._mell._MŐSZ_Mérleg2019'!D119+'1.6._mell._HVGYKCSSZ_Mérleg2019'!D119</f>
        <v>27012</v>
      </c>
      <c r="E119" s="12">
        <f>+'1.1.mell._ÖNK_Mérleg2019'!E119+'1.2.mell._HKÖH_Mérleg2019'!E119+'1.3.mell._HVÓBKI_Mérleg2019'!E119+'1.4.mell._HKK_Mérleg2019'!E119+'1.5._mell._MŐSZ_Mérleg2019'!E119+'1.6._mell._HVGYKCSSZ_Mérleg2019'!E119</f>
        <v>162</v>
      </c>
      <c r="F119" s="17">
        <f>+'1.1.mell._ÖNK_Mérleg2019'!F119+'1.2.mell._HKÖH_Mérleg2019'!F119+'1.3.mell._HVÓBKI_Mérleg2019'!F119+'1.4.mell._HKK_Mérleg2019'!F119+'1.5._mell._MŐSZ_Mérleg2019'!F119+'1.6._mell._HVGYKCSSZ_Mérleg2019'!F119</f>
        <v>0</v>
      </c>
      <c r="H119" s="4">
        <f t="shared" si="6"/>
        <v>0</v>
      </c>
    </row>
    <row r="120" spans="1:8">
      <c r="A120" s="101" t="s">
        <v>63</v>
      </c>
      <c r="B120" s="83" t="s">
        <v>131</v>
      </c>
      <c r="C120" s="23">
        <f t="shared" si="8"/>
        <v>229364</v>
      </c>
      <c r="D120" s="21">
        <f>+'1.1.mell._ÖNK_Mérleg2019'!D120+'1.2.mell._HKÖH_Mérleg2019'!D120+'1.3.mell._HVÓBKI_Mérleg2019'!D120+'1.4.mell._HKK_Mérleg2019'!D120+'1.5._mell._MŐSZ_Mérleg2019'!D120+'1.6._mell._HVGYKCSSZ_Mérleg2019'!D120</f>
        <v>225057</v>
      </c>
      <c r="E120" s="12">
        <f>+'1.1.mell._ÖNK_Mérleg2019'!E120+'1.2.mell._HKÖH_Mérleg2019'!E120+'1.3.mell._HVÓBKI_Mérleg2019'!E120+'1.4.mell._HKK_Mérleg2019'!E120+'1.5._mell._MŐSZ_Mérleg2019'!E120+'1.6._mell._HVGYKCSSZ_Mérleg2019'!E120</f>
        <v>4307</v>
      </c>
      <c r="F120" s="17">
        <f>+'1.1.mell._ÖNK_Mérleg2019'!F120+'1.2.mell._HKÖH_Mérleg2019'!F120+'1.3.mell._HVÓBKI_Mérleg2019'!F120+'1.4.mell._HKK_Mérleg2019'!F120+'1.5._mell._MŐSZ_Mérleg2019'!F120+'1.6._mell._HVGYKCSSZ_Mérleg2019'!F120</f>
        <v>0</v>
      </c>
      <c r="H120" s="4">
        <f t="shared" si="6"/>
        <v>0</v>
      </c>
    </row>
    <row r="121" spans="1:8">
      <c r="A121" s="101" t="s">
        <v>64</v>
      </c>
      <c r="B121" s="83" t="s">
        <v>132</v>
      </c>
      <c r="C121" s="23">
        <f t="shared" si="8"/>
        <v>1940</v>
      </c>
      <c r="D121" s="21">
        <f>+'1.1.mell._ÖNK_Mérleg2019'!D121+'1.2.mell._HKÖH_Mérleg2019'!D121+'1.3.mell._HVÓBKI_Mérleg2019'!D121+'1.4.mell._HKK_Mérleg2019'!D121+'1.5._mell._MŐSZ_Mérleg2019'!D121+'1.6._mell._HVGYKCSSZ_Mérleg2019'!D121</f>
        <v>1940</v>
      </c>
      <c r="E121" s="12">
        <f>+'1.1.mell._ÖNK_Mérleg2019'!E121+'1.2.mell._HKÖH_Mérleg2019'!E121+'1.3.mell._HVÓBKI_Mérleg2019'!E121+'1.4.mell._HKK_Mérleg2019'!E121+'1.5._mell._MŐSZ_Mérleg2019'!E121+'1.6._mell._HVGYKCSSZ_Mérleg2019'!E121</f>
        <v>0</v>
      </c>
      <c r="F121" s="17">
        <f>+'1.1.mell._ÖNK_Mérleg2019'!F121+'1.2.mell._HKÖH_Mérleg2019'!F121+'1.3.mell._HVÓBKI_Mérleg2019'!F121+'1.4.mell._HKK_Mérleg2019'!F121+'1.5._mell._MŐSZ_Mérleg2019'!F121+'1.6._mell._HVGYKCSSZ_Mérleg2019'!F121</f>
        <v>0</v>
      </c>
      <c r="H121" s="4">
        <f t="shared" si="6"/>
        <v>0</v>
      </c>
    </row>
    <row r="122" spans="1:8" ht="12.75" thickBot="1">
      <c r="A122" s="94" t="s">
        <v>65</v>
      </c>
      <c r="B122" s="84" t="s">
        <v>133</v>
      </c>
      <c r="C122" s="26">
        <f t="shared" si="8"/>
        <v>97173</v>
      </c>
      <c r="D122" s="27">
        <f>+'1.1.mell._ÖNK_Mérleg2019'!D122+'1.2.mell._HKÖH_Mérleg2019'!D122+'1.3.mell._HVÓBKI_Mérleg2019'!D122+'1.4.mell._HKK_Mérleg2019'!D122+'1.5._mell._MŐSZ_Mérleg2019'!D122+'1.6._mell._HVGYKCSSZ_Mérleg2019'!D122</f>
        <v>90334</v>
      </c>
      <c r="E122" s="28">
        <f>+'1.1.mell._ÖNK_Mérleg2019'!E122+'1.2.mell._HKÖH_Mérleg2019'!E122+'1.3.mell._HVÓBKI_Mérleg2019'!E122+'1.4.mell._HKK_Mérleg2019'!E122+'1.5._mell._MŐSZ_Mérleg2019'!E122+'1.6._mell._HVGYKCSSZ_Mérleg2019'!E122</f>
        <v>6839</v>
      </c>
      <c r="F122" s="29">
        <f>+'1.1.mell._ÖNK_Mérleg2019'!F122+'1.2.mell._HKÖH_Mérleg2019'!F122+'1.3.mell._HVÓBKI_Mérleg2019'!F122+'1.4.mell._HKK_Mérleg2019'!F122+'1.5._mell._MŐSZ_Mérleg2019'!F122+'1.6._mell._HVGYKCSSZ_Mérleg2019'!F122</f>
        <v>0</v>
      </c>
      <c r="H122" s="4">
        <f t="shared" si="6"/>
        <v>0</v>
      </c>
    </row>
    <row r="123" spans="1:8" s="3" customFormat="1" ht="12.75" thickBot="1">
      <c r="A123" s="99" t="s">
        <v>16</v>
      </c>
      <c r="B123" s="80" t="s">
        <v>310</v>
      </c>
      <c r="C123" s="44">
        <f>+C124+C125+C126+C127+C128+C129+C130+C131</f>
        <v>57543</v>
      </c>
      <c r="D123" s="33">
        <f>+D124+D125+D126+D127+D128+D129+D130+D131</f>
        <v>52505</v>
      </c>
      <c r="E123" s="34">
        <f>+E124+E125+E126+E127+E128+E129+E130+E131</f>
        <v>5038</v>
      </c>
      <c r="F123" s="35">
        <f>+F124+F125+F126+F127+F128+F129+F130+F131</f>
        <v>0</v>
      </c>
      <c r="G123" s="741">
        <f>+C123/$C$208</f>
        <v>1.244652265012754E-2</v>
      </c>
      <c r="H123" s="3">
        <f t="shared" si="6"/>
        <v>0</v>
      </c>
    </row>
    <row r="124" spans="1:8">
      <c r="A124" s="100" t="s">
        <v>227</v>
      </c>
      <c r="B124" s="81" t="s">
        <v>134</v>
      </c>
      <c r="C124" s="36">
        <f t="shared" ref="C124:C131" si="9">+D124+E124+F124</f>
        <v>0</v>
      </c>
      <c r="D124" s="41">
        <f>+'1.1.mell._ÖNK_Mérleg2019'!D124+'1.2.mell._HKÖH_Mérleg2019'!D124+'1.3.mell._HVÓBKI_Mérleg2019'!D124+'1.4.mell._HKK_Mérleg2019'!D124+'1.5._mell._MŐSZ_Mérleg2019'!D124+'1.6._mell._HVGYKCSSZ_Mérleg2019'!D124</f>
        <v>0</v>
      </c>
      <c r="E124" s="11">
        <f>+'1.1.mell._ÖNK_Mérleg2019'!E124+'1.2.mell._HKÖH_Mérleg2019'!E124+'1.3.mell._HVÓBKI_Mérleg2019'!E124+'1.4.mell._HKK_Mérleg2019'!E124+'1.5._mell._MŐSZ_Mérleg2019'!E124+'1.6._mell._HVGYKCSSZ_Mérleg2019'!E124</f>
        <v>0</v>
      </c>
      <c r="F124" s="42">
        <f>+'1.1.mell._ÖNK_Mérleg2019'!F124+'1.2.mell._HKÖH_Mérleg2019'!F124+'1.3.mell._HVÓBKI_Mérleg2019'!F124+'1.4.mell._HKK_Mérleg2019'!F124+'1.5._mell._MŐSZ_Mérleg2019'!F124+'1.6._mell._HVGYKCSSZ_Mérleg2019'!F124</f>
        <v>0</v>
      </c>
      <c r="H124" s="4">
        <f t="shared" si="6"/>
        <v>0</v>
      </c>
    </row>
    <row r="125" spans="1:8">
      <c r="A125" s="101" t="s">
        <v>228</v>
      </c>
      <c r="B125" s="83" t="s">
        <v>135</v>
      </c>
      <c r="C125" s="23">
        <f t="shared" si="9"/>
        <v>0</v>
      </c>
      <c r="D125" s="21">
        <f>+'1.1.mell._ÖNK_Mérleg2019'!D125+'1.2.mell._HKÖH_Mérleg2019'!D125+'1.3.mell._HVÓBKI_Mérleg2019'!D125+'1.4.mell._HKK_Mérleg2019'!D125+'1.5._mell._MŐSZ_Mérleg2019'!D125+'1.6._mell._HVGYKCSSZ_Mérleg2019'!D125</f>
        <v>0</v>
      </c>
      <c r="E125" s="12">
        <f>+'1.1.mell._ÖNK_Mérleg2019'!E125+'1.2.mell._HKÖH_Mérleg2019'!E125+'1.3.mell._HVÓBKI_Mérleg2019'!E125+'1.4.mell._HKK_Mérleg2019'!E125+'1.5._mell._MŐSZ_Mérleg2019'!E125+'1.6._mell._HVGYKCSSZ_Mérleg2019'!E125</f>
        <v>0</v>
      </c>
      <c r="F125" s="17">
        <f>+'1.1.mell._ÖNK_Mérleg2019'!F125+'1.2.mell._HKÖH_Mérleg2019'!F125+'1.3.mell._HVÓBKI_Mérleg2019'!F125+'1.4.mell._HKK_Mérleg2019'!F125+'1.5._mell._MŐSZ_Mérleg2019'!F125+'1.6._mell._HVGYKCSSZ_Mérleg2019'!F125</f>
        <v>0</v>
      </c>
      <c r="H125" s="4">
        <f t="shared" si="6"/>
        <v>0</v>
      </c>
    </row>
    <row r="126" spans="1:8">
      <c r="A126" s="101" t="s">
        <v>229</v>
      </c>
      <c r="B126" s="83" t="s">
        <v>136</v>
      </c>
      <c r="C126" s="23">
        <f t="shared" si="9"/>
        <v>0</v>
      </c>
      <c r="D126" s="21">
        <f>+'1.1.mell._ÖNK_Mérleg2019'!D126+'1.2.mell._HKÖH_Mérleg2019'!D126+'1.3.mell._HVÓBKI_Mérleg2019'!D126+'1.4.mell._HKK_Mérleg2019'!D126+'1.5._mell._MŐSZ_Mérleg2019'!D126+'1.6._mell._HVGYKCSSZ_Mérleg2019'!D126</f>
        <v>0</v>
      </c>
      <c r="E126" s="12">
        <f>+'1.1.mell._ÖNK_Mérleg2019'!E126+'1.2.mell._HKÖH_Mérleg2019'!E126+'1.3.mell._HVÓBKI_Mérleg2019'!E126+'1.4.mell._HKK_Mérleg2019'!E126+'1.5._mell._MŐSZ_Mérleg2019'!E126+'1.6._mell._HVGYKCSSZ_Mérleg2019'!E126</f>
        <v>0</v>
      </c>
      <c r="F126" s="17">
        <f>+'1.1.mell._ÖNK_Mérleg2019'!F126+'1.2.mell._HKÖH_Mérleg2019'!F126+'1.3.mell._HVÓBKI_Mérleg2019'!F126+'1.4.mell._HKK_Mérleg2019'!F126+'1.5._mell._MŐSZ_Mérleg2019'!F126+'1.6._mell._HVGYKCSSZ_Mérleg2019'!F126</f>
        <v>0</v>
      </c>
      <c r="H126" s="4">
        <f t="shared" si="6"/>
        <v>0</v>
      </c>
    </row>
    <row r="127" spans="1:8">
      <c r="A127" s="101" t="s">
        <v>257</v>
      </c>
      <c r="B127" s="83" t="s">
        <v>137</v>
      </c>
      <c r="C127" s="23">
        <f t="shared" si="9"/>
        <v>2400</v>
      </c>
      <c r="D127" s="21">
        <f>+'1.1.mell._ÖNK_Mérleg2019'!D127+'1.2.mell._HKÖH_Mérleg2019'!D127+'1.3.mell._HVÓBKI_Mérleg2019'!D127+'1.4.mell._HKK_Mérleg2019'!D127+'1.5._mell._MŐSZ_Mérleg2019'!D127+'1.6._mell._HVGYKCSSZ_Mérleg2019'!D127</f>
        <v>2400</v>
      </c>
      <c r="E127" s="12">
        <f>+'1.1.mell._ÖNK_Mérleg2019'!E127+'1.2.mell._HKÖH_Mérleg2019'!E127+'1.3.mell._HVÓBKI_Mérleg2019'!E127+'1.4.mell._HKK_Mérleg2019'!E127+'1.5._mell._MŐSZ_Mérleg2019'!E127+'1.6._mell._HVGYKCSSZ_Mérleg2019'!E127</f>
        <v>0</v>
      </c>
      <c r="F127" s="17">
        <f>+'1.1.mell._ÖNK_Mérleg2019'!F127+'1.2.mell._HKÖH_Mérleg2019'!F127+'1.3.mell._HVÓBKI_Mérleg2019'!F127+'1.4.mell._HKK_Mérleg2019'!F127+'1.5._mell._MŐSZ_Mérleg2019'!F127+'1.6._mell._HVGYKCSSZ_Mérleg2019'!F127</f>
        <v>0</v>
      </c>
      <c r="H127" s="4">
        <f t="shared" si="6"/>
        <v>0</v>
      </c>
    </row>
    <row r="128" spans="1:8">
      <c r="A128" s="101" t="s">
        <v>258</v>
      </c>
      <c r="B128" s="83" t="s">
        <v>138</v>
      </c>
      <c r="C128" s="23">
        <f t="shared" si="9"/>
        <v>0</v>
      </c>
      <c r="D128" s="21">
        <f>+'1.1.mell._ÖNK_Mérleg2019'!D128+'1.2.mell._HKÖH_Mérleg2019'!D128+'1.3.mell._HVÓBKI_Mérleg2019'!D128+'1.4.mell._HKK_Mérleg2019'!D128+'1.5._mell._MŐSZ_Mérleg2019'!D128+'1.6._mell._HVGYKCSSZ_Mérleg2019'!D128</f>
        <v>0</v>
      </c>
      <c r="E128" s="12">
        <f>+'1.1.mell._ÖNK_Mérleg2019'!E128+'1.2.mell._HKÖH_Mérleg2019'!E128+'1.3.mell._HVÓBKI_Mérleg2019'!E128+'1.4.mell._HKK_Mérleg2019'!E128+'1.5._mell._MŐSZ_Mérleg2019'!E128+'1.6._mell._HVGYKCSSZ_Mérleg2019'!E128</f>
        <v>0</v>
      </c>
      <c r="F128" s="17">
        <f>+'1.1.mell._ÖNK_Mérleg2019'!F128+'1.2.mell._HKÖH_Mérleg2019'!F128+'1.3.mell._HVÓBKI_Mérleg2019'!F128+'1.4.mell._HKK_Mérleg2019'!F128+'1.5._mell._MŐSZ_Mérleg2019'!F128+'1.6._mell._HVGYKCSSZ_Mérleg2019'!F128</f>
        <v>0</v>
      </c>
      <c r="H128" s="4">
        <f t="shared" si="6"/>
        <v>0</v>
      </c>
    </row>
    <row r="129" spans="1:8">
      <c r="A129" s="101" t="s">
        <v>259</v>
      </c>
      <c r="B129" s="83" t="s">
        <v>139</v>
      </c>
      <c r="C129" s="23">
        <f t="shared" si="9"/>
        <v>19800</v>
      </c>
      <c r="D129" s="21">
        <f>+'1.1.mell._ÖNK_Mérleg2019'!D129+'1.2.mell._HKÖH_Mérleg2019'!D129+'1.3.mell._HVÓBKI_Mérleg2019'!D129+'1.4.mell._HKK_Mérleg2019'!D129+'1.5._mell._MŐSZ_Mérleg2019'!D129+'1.6._mell._HVGYKCSSZ_Mérleg2019'!D129</f>
        <v>19800</v>
      </c>
      <c r="E129" s="12">
        <f>+'1.1.mell._ÖNK_Mérleg2019'!E129+'1.2.mell._HKÖH_Mérleg2019'!E129+'1.3.mell._HVÓBKI_Mérleg2019'!E129+'1.4.mell._HKK_Mérleg2019'!E129+'1.5._mell._MŐSZ_Mérleg2019'!E129+'1.6._mell._HVGYKCSSZ_Mérleg2019'!E129</f>
        <v>0</v>
      </c>
      <c r="F129" s="17">
        <f>+'1.1.mell._ÖNK_Mérleg2019'!F129+'1.2.mell._HKÖH_Mérleg2019'!F129+'1.3.mell._HVÓBKI_Mérleg2019'!F129+'1.4.mell._HKK_Mérleg2019'!F129+'1.5._mell._MŐSZ_Mérleg2019'!F129+'1.6._mell._HVGYKCSSZ_Mérleg2019'!F129</f>
        <v>0</v>
      </c>
      <c r="H129" s="4">
        <f t="shared" si="6"/>
        <v>0</v>
      </c>
    </row>
    <row r="130" spans="1:8">
      <c r="A130" s="101" t="s">
        <v>260</v>
      </c>
      <c r="B130" s="83" t="s">
        <v>140</v>
      </c>
      <c r="C130" s="23">
        <f t="shared" si="9"/>
        <v>13143</v>
      </c>
      <c r="D130" s="21">
        <f>+'1.1.mell._ÖNK_Mérleg2019'!D130+'1.2.mell._HKÖH_Mérleg2019'!D130+'1.3.mell._HVÓBKI_Mérleg2019'!D130+'1.4.mell._HKK_Mérleg2019'!D130+'1.5._mell._MŐSZ_Mérleg2019'!D130+'1.6._mell._HVGYKCSSZ_Mérleg2019'!D130</f>
        <v>8105</v>
      </c>
      <c r="E130" s="12">
        <f>+'1.1.mell._ÖNK_Mérleg2019'!E130+'1.2.mell._HKÖH_Mérleg2019'!E130+'1.3.mell._HVÓBKI_Mérleg2019'!E130+'1.4.mell._HKK_Mérleg2019'!E130+'1.5._mell._MŐSZ_Mérleg2019'!E130+'1.6._mell._HVGYKCSSZ_Mérleg2019'!E130</f>
        <v>5038</v>
      </c>
      <c r="F130" s="17">
        <f>+'1.1.mell._ÖNK_Mérleg2019'!F130+'1.2.mell._HKÖH_Mérleg2019'!F130+'1.3.mell._HVÓBKI_Mérleg2019'!F130+'1.4.mell._HKK_Mérleg2019'!F130+'1.5._mell._MŐSZ_Mérleg2019'!F130+'1.6._mell._HVGYKCSSZ_Mérleg2019'!F130</f>
        <v>0</v>
      </c>
      <c r="H130" s="4">
        <f t="shared" si="6"/>
        <v>0</v>
      </c>
    </row>
    <row r="131" spans="1:8" ht="12.75" thickBot="1">
      <c r="A131" s="94" t="s">
        <v>261</v>
      </c>
      <c r="B131" s="84" t="s">
        <v>141</v>
      </c>
      <c r="C131" s="26">
        <f t="shared" si="9"/>
        <v>22200</v>
      </c>
      <c r="D131" s="27">
        <f>+'1.1.mell._ÖNK_Mérleg2019'!D131+'1.2.mell._HKÖH_Mérleg2019'!D131+'1.3.mell._HVÓBKI_Mérleg2019'!D131+'1.4.mell._HKK_Mérleg2019'!D131+'1.5._mell._MŐSZ_Mérleg2019'!D131+'1.6._mell._HVGYKCSSZ_Mérleg2019'!D131</f>
        <v>22200</v>
      </c>
      <c r="E131" s="28">
        <f>+'1.1.mell._ÖNK_Mérleg2019'!E131+'1.2.mell._HKÖH_Mérleg2019'!E131+'1.3.mell._HVÓBKI_Mérleg2019'!E131+'1.4.mell._HKK_Mérleg2019'!E131+'1.5._mell._MŐSZ_Mérleg2019'!E131+'1.6._mell._HVGYKCSSZ_Mérleg2019'!E131</f>
        <v>0</v>
      </c>
      <c r="F131" s="29">
        <f>+'1.1.mell._ÖNK_Mérleg2019'!F131+'1.2.mell._HKÖH_Mérleg2019'!F131+'1.3.mell._HVÓBKI_Mérleg2019'!F131+'1.4.mell._HKK_Mérleg2019'!F131+'1.5._mell._MŐSZ_Mérleg2019'!F131+'1.6._mell._HVGYKCSSZ_Mérleg2019'!F131</f>
        <v>0</v>
      </c>
      <c r="H131" s="4">
        <f t="shared" si="6"/>
        <v>0</v>
      </c>
    </row>
    <row r="132" spans="1:8" s="3" customFormat="1" ht="12.75" thickBot="1">
      <c r="A132" s="99" t="s">
        <v>15</v>
      </c>
      <c r="B132" s="80" t="s">
        <v>933</v>
      </c>
      <c r="C132" s="44">
        <f>+C133+C134+C135+C136+C137+C138+C144+C140+C141+C142+C143+C145+C146</f>
        <v>2874202</v>
      </c>
      <c r="D132" s="33">
        <f>+D133+D134+D135+D136+D137+D138+D144+D140+D141+D142+D143+D145+D146</f>
        <v>2869912</v>
      </c>
      <c r="E132" s="34">
        <f>+E133+E134+E135+E136+E137+E138+E144+E140+E141+E142+E143+E145+E146</f>
        <v>4290</v>
      </c>
      <c r="F132" s="35">
        <f>+F133+F134+F135+F136+F137+F138+F144+F140+F141+F142+F143+F145+F146</f>
        <v>0</v>
      </c>
      <c r="G132" s="741">
        <f>+C132/$C$208</f>
        <v>0.62168848155365342</v>
      </c>
      <c r="H132" s="3">
        <f t="shared" si="6"/>
        <v>0</v>
      </c>
    </row>
    <row r="133" spans="1:8">
      <c r="A133" s="100" t="s">
        <v>87</v>
      </c>
      <c r="B133" s="81" t="s">
        <v>142</v>
      </c>
      <c r="C133" s="36">
        <f t="shared" ref="C133:C145" si="10">+D133+E133+F133</f>
        <v>0</v>
      </c>
      <c r="D133" s="41">
        <f>+'1.1.mell._ÖNK_Mérleg2019'!D133+'1.2.mell._HKÖH_Mérleg2019'!D133+'1.3.mell._HVÓBKI_Mérleg2019'!D133+'1.4.mell._HKK_Mérleg2019'!D133+'1.5._mell._MŐSZ_Mérleg2019'!D133+'1.6._mell._HVGYKCSSZ_Mérleg2019'!D133</f>
        <v>0</v>
      </c>
      <c r="E133" s="11">
        <f>+'1.1.mell._ÖNK_Mérleg2019'!E133+'1.2.mell._HKÖH_Mérleg2019'!E133+'1.3.mell._HVÓBKI_Mérleg2019'!E133+'1.4.mell._HKK_Mérleg2019'!E133+'1.5._mell._MŐSZ_Mérleg2019'!E133+'1.6._mell._HVGYKCSSZ_Mérleg2019'!E133</f>
        <v>0</v>
      </c>
      <c r="F133" s="42">
        <f>+'1.1.mell._ÖNK_Mérleg2019'!F133+'1.2.mell._HKÖH_Mérleg2019'!F133+'1.3.mell._HVÓBKI_Mérleg2019'!F133+'1.4.mell._HKK_Mérleg2019'!F133+'1.5._mell._MŐSZ_Mérleg2019'!F133+'1.6._mell._HVGYKCSSZ_Mérleg2019'!F133</f>
        <v>0</v>
      </c>
      <c r="H133" s="4">
        <f t="shared" si="6"/>
        <v>0</v>
      </c>
    </row>
    <row r="134" spans="1:8">
      <c r="A134" s="101" t="s">
        <v>88</v>
      </c>
      <c r="B134" s="83" t="s">
        <v>143</v>
      </c>
      <c r="C134" s="23">
        <f t="shared" si="10"/>
        <v>16166</v>
      </c>
      <c r="D134" s="21">
        <f>+'1.1.mell._ÖNK_Mérleg2019'!D134+'1.2.mell._HKÖH_Mérleg2019'!D134+'1.3.mell._HVÓBKI_Mérleg2019'!D134+'1.4.mell._HKK_Mérleg2019'!D134+'1.5._mell._MŐSZ_Mérleg2019'!D134+'1.6._mell._HVGYKCSSZ_Mérleg2019'!D134</f>
        <v>13076</v>
      </c>
      <c r="E134" s="12">
        <f>+'1.1.mell._ÖNK_Mérleg2019'!E134+'1.2.mell._HKÖH_Mérleg2019'!E134+'1.3.mell._HVÓBKI_Mérleg2019'!E134+'1.4.mell._HKK_Mérleg2019'!E134+'1.5._mell._MŐSZ_Mérleg2019'!E134+'1.6._mell._HVGYKCSSZ_Mérleg2019'!E134</f>
        <v>3090</v>
      </c>
      <c r="F134" s="17">
        <f>+'1.1.mell._ÖNK_Mérleg2019'!F134+'1.2.mell._HKÖH_Mérleg2019'!F134+'1.3.mell._HVÓBKI_Mérleg2019'!F134+'1.4.mell._HKK_Mérleg2019'!F134+'1.5._mell._MŐSZ_Mérleg2019'!F134+'1.6._mell._HVGYKCSSZ_Mérleg2019'!F134</f>
        <v>0</v>
      </c>
      <c r="H134" s="4">
        <f t="shared" si="6"/>
        <v>0</v>
      </c>
    </row>
    <row r="135" spans="1:8">
      <c r="A135" s="101" t="s">
        <v>182</v>
      </c>
      <c r="B135" s="83" t="s">
        <v>144</v>
      </c>
      <c r="C135" s="23">
        <f t="shared" si="10"/>
        <v>0</v>
      </c>
      <c r="D135" s="21">
        <f>+'1.1.mell._ÖNK_Mérleg2019'!D135+'1.2.mell._HKÖH_Mérleg2019'!D135+'1.3.mell._HVÓBKI_Mérleg2019'!D135+'1.4.mell._HKK_Mérleg2019'!D135+'1.5._mell._MŐSZ_Mérleg2019'!D135+'1.6._mell._HVGYKCSSZ_Mérleg2019'!D135</f>
        <v>0</v>
      </c>
      <c r="E135" s="12">
        <f>+'1.1.mell._ÖNK_Mérleg2019'!E135+'1.2.mell._HKÖH_Mérleg2019'!E135+'1.3.mell._HVÓBKI_Mérleg2019'!E135+'1.4.mell._HKK_Mérleg2019'!E135+'1.5._mell._MŐSZ_Mérleg2019'!E135+'1.6._mell._HVGYKCSSZ_Mérleg2019'!E135</f>
        <v>0</v>
      </c>
      <c r="F135" s="17">
        <f>+'1.1.mell._ÖNK_Mérleg2019'!F135+'1.2.mell._HKÖH_Mérleg2019'!F135+'1.3.mell._HVÓBKI_Mérleg2019'!F135+'1.4.mell._HKK_Mérleg2019'!F135+'1.5._mell._MŐSZ_Mérleg2019'!F135+'1.6._mell._HVGYKCSSZ_Mérleg2019'!F135</f>
        <v>0</v>
      </c>
      <c r="H135" s="4">
        <f t="shared" si="6"/>
        <v>0</v>
      </c>
    </row>
    <row r="136" spans="1:8">
      <c r="A136" s="101" t="s">
        <v>183</v>
      </c>
      <c r="B136" s="83" t="s">
        <v>145</v>
      </c>
      <c r="C136" s="23">
        <f t="shared" si="10"/>
        <v>0</v>
      </c>
      <c r="D136" s="21">
        <f>+'1.1.mell._ÖNK_Mérleg2019'!D136+'1.2.mell._HKÖH_Mérleg2019'!D136+'1.3.mell._HVÓBKI_Mérleg2019'!D136+'1.4.mell._HKK_Mérleg2019'!D136+'1.5._mell._MŐSZ_Mérleg2019'!D136+'1.6._mell._HVGYKCSSZ_Mérleg2019'!D136</f>
        <v>0</v>
      </c>
      <c r="E136" s="12">
        <f>+'1.1.mell._ÖNK_Mérleg2019'!E136+'1.2.mell._HKÖH_Mérleg2019'!E136+'1.3.mell._HVÓBKI_Mérleg2019'!E136+'1.4.mell._HKK_Mérleg2019'!E136+'1.5._mell._MŐSZ_Mérleg2019'!E136+'1.6._mell._HVGYKCSSZ_Mérleg2019'!E136</f>
        <v>0</v>
      </c>
      <c r="F136" s="17">
        <f>+'1.1.mell._ÖNK_Mérleg2019'!F136+'1.2.mell._HKÖH_Mérleg2019'!F136+'1.3.mell._HVÓBKI_Mérleg2019'!F136+'1.4.mell._HKK_Mérleg2019'!F136+'1.5._mell._MŐSZ_Mérleg2019'!F136+'1.6._mell._HVGYKCSSZ_Mérleg2019'!F136</f>
        <v>0</v>
      </c>
      <c r="H136" s="4">
        <f t="shared" si="6"/>
        <v>0</v>
      </c>
    </row>
    <row r="137" spans="1:8">
      <c r="A137" s="101" t="s">
        <v>184</v>
      </c>
      <c r="B137" s="83" t="s">
        <v>146</v>
      </c>
      <c r="C137" s="23">
        <f t="shared" si="10"/>
        <v>0</v>
      </c>
      <c r="D137" s="21">
        <f>+'1.1.mell._ÖNK_Mérleg2019'!D137+'1.2.mell._HKÖH_Mérleg2019'!D137+'1.3.mell._HVÓBKI_Mérleg2019'!D137+'1.4.mell._HKK_Mérleg2019'!D137+'1.5._mell._MŐSZ_Mérleg2019'!D137+'1.6._mell._HVGYKCSSZ_Mérleg2019'!D137</f>
        <v>0</v>
      </c>
      <c r="E137" s="12">
        <f>+'1.1.mell._ÖNK_Mérleg2019'!E137+'1.2.mell._HKÖH_Mérleg2019'!E137+'1.3.mell._HVÓBKI_Mérleg2019'!E137+'1.4.mell._HKK_Mérleg2019'!E137+'1.5._mell._MŐSZ_Mérleg2019'!E137+'1.6._mell._HVGYKCSSZ_Mérleg2019'!E137</f>
        <v>0</v>
      </c>
      <c r="F137" s="17">
        <f>+'1.1.mell._ÖNK_Mérleg2019'!F137+'1.2.mell._HKÖH_Mérleg2019'!F137+'1.3.mell._HVÓBKI_Mérleg2019'!F137+'1.4.mell._HKK_Mérleg2019'!F137+'1.5._mell._MŐSZ_Mérleg2019'!F137+'1.6._mell._HVGYKCSSZ_Mérleg2019'!F137</f>
        <v>0</v>
      </c>
      <c r="H137" s="4">
        <f t="shared" si="6"/>
        <v>0</v>
      </c>
    </row>
    <row r="138" spans="1:8">
      <c r="A138" s="101" t="s">
        <v>262</v>
      </c>
      <c r="B138" s="83" t="s">
        <v>147</v>
      </c>
      <c r="C138" s="23">
        <f t="shared" si="10"/>
        <v>9203</v>
      </c>
      <c r="D138" s="21">
        <f>+'1.1.mell._ÖNK_Mérleg2019'!D138+'1.2.mell._HKÖH_Mérleg2019'!D138+'1.3.mell._HVÓBKI_Mérleg2019'!D138+'1.4.mell._HKK_Mérleg2019'!D138+'1.5._mell._MŐSZ_Mérleg2019'!D138+'1.6._mell._HVGYKCSSZ_Mérleg2019'!D138</f>
        <v>9203</v>
      </c>
      <c r="E138" s="12">
        <f>+'1.1.mell._ÖNK_Mérleg2019'!E138+'1.2.mell._HKÖH_Mérleg2019'!E138+'1.3.mell._HVÓBKI_Mérleg2019'!E138+'1.4.mell._HKK_Mérleg2019'!E138+'1.5._mell._MŐSZ_Mérleg2019'!E138+'1.6._mell._HVGYKCSSZ_Mérleg2019'!E138</f>
        <v>0</v>
      </c>
      <c r="F138" s="17">
        <f>+'1.1.mell._ÖNK_Mérleg2019'!F138+'1.2.mell._HKÖH_Mérleg2019'!F138+'1.3.mell._HVÓBKI_Mérleg2019'!F138+'1.4.mell._HKK_Mérleg2019'!F138+'1.5._mell._MŐSZ_Mérleg2019'!F138+'1.6._mell._HVGYKCSSZ_Mérleg2019'!F138</f>
        <v>0</v>
      </c>
      <c r="H138" s="4">
        <f t="shared" si="6"/>
        <v>0</v>
      </c>
    </row>
    <row r="139" spans="1:8" s="14" customFormat="1">
      <c r="A139" s="105" t="s">
        <v>336</v>
      </c>
      <c r="B139" s="837" t="s">
        <v>939</v>
      </c>
      <c r="C139" s="58">
        <f t="shared" si="10"/>
        <v>0</v>
      </c>
      <c r="D139" s="56">
        <f>+'1.1.mell._ÖNK_Mérleg2019'!D139+'1.2.mell._HKÖH_Mérleg2019'!D139+'1.3.mell._HVÓBKI_Mérleg2019'!D139+'1.4.mell._HKK_Mérleg2019'!D139+'1.5._mell._MŐSZ_Mérleg2019'!D139+'1.6._mell._HVGYKCSSZ_Mérleg2019'!D139</f>
        <v>0</v>
      </c>
      <c r="E139" s="54">
        <f>+'1.1.mell._ÖNK_Mérleg2019'!E139+'1.2.mell._HKÖH_Mérleg2019'!E139+'1.3.mell._HVÓBKI_Mérleg2019'!E139+'1.4.mell._HKK_Mérleg2019'!E139+'1.5._mell._MŐSZ_Mérleg2019'!E139+'1.6._mell._HVGYKCSSZ_Mérleg2019'!E139</f>
        <v>0</v>
      </c>
      <c r="F139" s="55">
        <f>+'1.1.mell._ÖNK_Mérleg2019'!F139+'1.2.mell._HKÖH_Mérleg2019'!F139+'1.3.mell._HVÓBKI_Mérleg2019'!F139+'1.4.mell._HKK_Mérleg2019'!F139+'1.5._mell._MŐSZ_Mérleg2019'!F139+'1.6._mell._HVGYKCSSZ_Mérleg2019'!F139</f>
        <v>0</v>
      </c>
      <c r="H139" s="14">
        <f t="shared" ref="H139:H202" si="11">+C139-D139-E139-F139</f>
        <v>0</v>
      </c>
    </row>
    <row r="140" spans="1:8">
      <c r="A140" s="101" t="s">
        <v>263</v>
      </c>
      <c r="B140" s="83" t="s">
        <v>148</v>
      </c>
      <c r="C140" s="23">
        <f t="shared" si="10"/>
        <v>0</v>
      </c>
      <c r="D140" s="21">
        <f>+'1.1.mell._ÖNK_Mérleg2019'!D140+'1.2.mell._HKÖH_Mérleg2019'!D140+'1.3.mell._HVÓBKI_Mérleg2019'!D140+'1.4.mell._HKK_Mérleg2019'!D140+'1.5._mell._MŐSZ_Mérleg2019'!D140+'1.6._mell._HVGYKCSSZ_Mérleg2019'!D140</f>
        <v>0</v>
      </c>
      <c r="E140" s="12">
        <f>+'1.1.mell._ÖNK_Mérleg2019'!E140+'1.2.mell._HKÖH_Mérleg2019'!E140+'1.3.mell._HVÓBKI_Mérleg2019'!E140+'1.4.mell._HKK_Mérleg2019'!E140+'1.5._mell._MŐSZ_Mérleg2019'!E140+'1.6._mell._HVGYKCSSZ_Mérleg2019'!E140</f>
        <v>0</v>
      </c>
      <c r="F140" s="17">
        <f>+'1.1.mell._ÖNK_Mérleg2019'!F140+'1.2.mell._HKÖH_Mérleg2019'!F140+'1.3.mell._HVÓBKI_Mérleg2019'!F140+'1.4.mell._HKK_Mérleg2019'!F140+'1.5._mell._MŐSZ_Mérleg2019'!F140+'1.6._mell._HVGYKCSSZ_Mérleg2019'!F140</f>
        <v>0</v>
      </c>
      <c r="H140" s="4">
        <f t="shared" si="11"/>
        <v>0</v>
      </c>
    </row>
    <row r="141" spans="1:8">
      <c r="A141" s="101" t="s">
        <v>264</v>
      </c>
      <c r="B141" s="83" t="s">
        <v>149</v>
      </c>
      <c r="C141" s="23">
        <f t="shared" si="10"/>
        <v>4000</v>
      </c>
      <c r="D141" s="21">
        <f>+'1.1.mell._ÖNK_Mérleg2019'!D141+'1.2.mell._HKÖH_Mérleg2019'!D141+'1.3.mell._HVÓBKI_Mérleg2019'!D141+'1.4.mell._HKK_Mérleg2019'!D141+'1.5._mell._MŐSZ_Mérleg2019'!D141+'1.6._mell._HVGYKCSSZ_Mérleg2019'!D141</f>
        <v>4000</v>
      </c>
      <c r="E141" s="12">
        <f>+'1.1.mell._ÖNK_Mérleg2019'!E141+'1.2.mell._HKÖH_Mérleg2019'!E141+'1.3.mell._HVÓBKI_Mérleg2019'!E141+'1.4.mell._HKK_Mérleg2019'!E141+'1.5._mell._MŐSZ_Mérleg2019'!E141+'1.6._mell._HVGYKCSSZ_Mérleg2019'!E141</f>
        <v>0</v>
      </c>
      <c r="F141" s="17">
        <f>+'1.1.mell._ÖNK_Mérleg2019'!F141+'1.2.mell._HKÖH_Mérleg2019'!F141+'1.3.mell._HVÓBKI_Mérleg2019'!F141+'1.4.mell._HKK_Mérleg2019'!F141+'1.5._mell._MŐSZ_Mérleg2019'!F141+'1.6._mell._HVGYKCSSZ_Mérleg2019'!F141</f>
        <v>0</v>
      </c>
      <c r="H141" s="4">
        <f t="shared" si="11"/>
        <v>0</v>
      </c>
    </row>
    <row r="142" spans="1:8">
      <c r="A142" s="101" t="s">
        <v>265</v>
      </c>
      <c r="B142" s="83" t="s">
        <v>150</v>
      </c>
      <c r="C142" s="23">
        <f t="shared" si="10"/>
        <v>0</v>
      </c>
      <c r="D142" s="21">
        <f>+'1.1.mell._ÖNK_Mérleg2019'!D142+'1.2.mell._HKÖH_Mérleg2019'!D142+'1.3.mell._HVÓBKI_Mérleg2019'!D142+'1.4.mell._HKK_Mérleg2019'!D142+'1.5._mell._MŐSZ_Mérleg2019'!D142+'1.6._mell._HVGYKCSSZ_Mérleg2019'!D142</f>
        <v>0</v>
      </c>
      <c r="E142" s="12">
        <f>+'1.1.mell._ÖNK_Mérleg2019'!E142+'1.2.mell._HKÖH_Mérleg2019'!E142+'1.3.mell._HVÓBKI_Mérleg2019'!E142+'1.4.mell._HKK_Mérleg2019'!E142+'1.5._mell._MŐSZ_Mérleg2019'!E142+'1.6._mell._HVGYKCSSZ_Mérleg2019'!E142</f>
        <v>0</v>
      </c>
      <c r="F142" s="17">
        <f>+'1.1.mell._ÖNK_Mérleg2019'!F142+'1.2.mell._HKÖH_Mérleg2019'!F142+'1.3.mell._HVÓBKI_Mérleg2019'!F142+'1.4.mell._HKK_Mérleg2019'!F142+'1.5._mell._MŐSZ_Mérleg2019'!F142+'1.6._mell._HVGYKCSSZ_Mérleg2019'!F142</f>
        <v>0</v>
      </c>
      <c r="H142" s="4">
        <f t="shared" si="11"/>
        <v>0</v>
      </c>
    </row>
    <row r="143" spans="1:8">
      <c r="A143" s="101" t="s">
        <v>266</v>
      </c>
      <c r="B143" s="83" t="s">
        <v>151</v>
      </c>
      <c r="C143" s="23">
        <f t="shared" si="10"/>
        <v>0</v>
      </c>
      <c r="D143" s="21">
        <f>+'1.1.mell._ÖNK_Mérleg2019'!D143+'1.2.mell._HKÖH_Mérleg2019'!D143+'1.3.mell._HVÓBKI_Mérleg2019'!D143+'1.4.mell._HKK_Mérleg2019'!D143+'1.5._mell._MŐSZ_Mérleg2019'!D143+'1.6._mell._HVGYKCSSZ_Mérleg2019'!D143</f>
        <v>0</v>
      </c>
      <c r="E143" s="12">
        <f>+'1.1.mell._ÖNK_Mérleg2019'!E143+'1.2.mell._HKÖH_Mérleg2019'!E143+'1.3.mell._HVÓBKI_Mérleg2019'!E143+'1.4.mell._HKK_Mérleg2019'!E143+'1.5._mell._MŐSZ_Mérleg2019'!E143+'1.6._mell._HVGYKCSSZ_Mérleg2019'!E143</f>
        <v>0</v>
      </c>
      <c r="F143" s="17">
        <f>+'1.1.mell._ÖNK_Mérleg2019'!F143+'1.2.mell._HKÖH_Mérleg2019'!F143+'1.3.mell._HVÓBKI_Mérleg2019'!F143+'1.4.mell._HKK_Mérleg2019'!F143+'1.5._mell._MŐSZ_Mérleg2019'!F143+'1.6._mell._HVGYKCSSZ_Mérleg2019'!F143</f>
        <v>0</v>
      </c>
      <c r="H143" s="4">
        <f t="shared" si="11"/>
        <v>0</v>
      </c>
    </row>
    <row r="144" spans="1:8">
      <c r="A144" s="101" t="s">
        <v>267</v>
      </c>
      <c r="B144" s="83" t="s">
        <v>934</v>
      </c>
      <c r="C144" s="23">
        <f>+D144+E144+F144</f>
        <v>0</v>
      </c>
      <c r="D144" s="21">
        <f>+'1.1.mell._ÖNK_Mérleg2019'!D144+'1.2.mell._HKÖH_Mérleg2019'!D144+'1.3.mell._HVÓBKI_Mérleg2019'!D144+'1.4.mell._HKK_Mérleg2019'!D144+'1.5._mell._MŐSZ_Mérleg2019'!D144+'1.6._mell._HVGYKCSSZ_Mérleg2019'!D144</f>
        <v>0</v>
      </c>
      <c r="E144" s="12">
        <f>+'1.1.mell._ÖNK_Mérleg2019'!E144+'1.2.mell._HKÖH_Mérleg2019'!E144+'1.3.mell._HVÓBKI_Mérleg2019'!E144+'1.4.mell._HKK_Mérleg2019'!E144+'1.5._mell._MŐSZ_Mérleg2019'!E144+'1.6._mell._HVGYKCSSZ_Mérleg2019'!E144</f>
        <v>0</v>
      </c>
      <c r="F144" s="17">
        <f>+'1.1.mell._ÖNK_Mérleg2019'!F144+'1.2.mell._HKÖH_Mérleg2019'!F144+'1.3.mell._HVÓBKI_Mérleg2019'!F144+'1.4.mell._HKK_Mérleg2019'!F144+'1.5._mell._MŐSZ_Mérleg2019'!F144+'1.6._mell._HVGYKCSSZ_Mérleg2019'!F144</f>
        <v>0</v>
      </c>
      <c r="H144" s="4">
        <f t="shared" si="11"/>
        <v>0</v>
      </c>
    </row>
    <row r="145" spans="1:8">
      <c r="A145" s="101" t="s">
        <v>268</v>
      </c>
      <c r="B145" s="83" t="s">
        <v>935</v>
      </c>
      <c r="C145" s="23">
        <f t="shared" si="10"/>
        <v>50700</v>
      </c>
      <c r="D145" s="21">
        <f>+'1.1.mell._ÖNK_Mérleg2019'!D145+'1.2.mell._HKÖH_Mérleg2019'!D145+'1.3.mell._HVÓBKI_Mérleg2019'!D145+'1.4.mell._HKK_Mérleg2019'!D145+'1.5._mell._MŐSZ_Mérleg2019'!D145+'1.6._mell._HVGYKCSSZ_Mérleg2019'!D145</f>
        <v>49500</v>
      </c>
      <c r="E145" s="12">
        <f>+'1.1.mell._ÖNK_Mérleg2019'!E145+'1.2.mell._HKÖH_Mérleg2019'!E145+'1.3.mell._HVÓBKI_Mérleg2019'!E145+'1.4.mell._HKK_Mérleg2019'!E145+'1.5._mell._MŐSZ_Mérleg2019'!E145+'1.6._mell._HVGYKCSSZ_Mérleg2019'!E145</f>
        <v>1200</v>
      </c>
      <c r="F145" s="17">
        <f>+'1.1.mell._ÖNK_Mérleg2019'!F145+'1.2.mell._HKÖH_Mérleg2019'!F145+'1.3.mell._HVÓBKI_Mérleg2019'!F145+'1.4.mell._HKK_Mérleg2019'!F145+'1.5._mell._MŐSZ_Mérleg2019'!F145+'1.6._mell._HVGYKCSSZ_Mérleg2019'!F145</f>
        <v>0</v>
      </c>
      <c r="H145" s="4">
        <f t="shared" si="11"/>
        <v>0</v>
      </c>
    </row>
    <row r="146" spans="1:8">
      <c r="A146" s="94" t="s">
        <v>930</v>
      </c>
      <c r="B146" s="84" t="s">
        <v>936</v>
      </c>
      <c r="C146" s="26">
        <f>+C147+C148</f>
        <v>2794133</v>
      </c>
      <c r="D146" s="27">
        <f>+D147+D148</f>
        <v>2794133</v>
      </c>
      <c r="E146" s="28">
        <f>+E147+E148</f>
        <v>0</v>
      </c>
      <c r="F146" s="29">
        <f>+F147+F148</f>
        <v>0</v>
      </c>
      <c r="H146" s="4">
        <f t="shared" si="11"/>
        <v>0</v>
      </c>
    </row>
    <row r="147" spans="1:8" s="14" customFormat="1">
      <c r="A147" s="105" t="s">
        <v>931</v>
      </c>
      <c r="B147" s="90" t="s">
        <v>937</v>
      </c>
      <c r="C147" s="58">
        <f>+D147+E147+F147</f>
        <v>10000</v>
      </c>
      <c r="D147" s="56">
        <f>+'1.1.mell._ÖNK_Mérleg2019'!D147+'1.2.mell._HKÖH_Mérleg2019'!D147+'1.3.mell._HVÓBKI_Mérleg2019'!D147+'1.4.mell._HKK_Mérleg2019'!D147+'1.5._mell._MŐSZ_Mérleg2019'!D147+'1.6._mell._HVGYKCSSZ_Mérleg2019'!D147</f>
        <v>10000</v>
      </c>
      <c r="E147" s="54">
        <f>+'1.1.mell._ÖNK_Mérleg2019'!E147+'1.2.mell._HKÖH_Mérleg2019'!E147+'1.3.mell._HVÓBKI_Mérleg2019'!E147+'1.4.mell._HKK_Mérleg2019'!E147+'1.5._mell._MŐSZ_Mérleg2019'!E147+'1.6._mell._HVGYKCSSZ_Mérleg2019'!E147</f>
        <v>0</v>
      </c>
      <c r="F147" s="55">
        <f>+'1.1.mell._ÖNK_Mérleg2019'!F147+'1.2.mell._HKÖH_Mérleg2019'!F147+'1.3.mell._HVÓBKI_Mérleg2019'!F147+'1.4.mell._HKK_Mérleg2019'!F147+'1.5._mell._MŐSZ_Mérleg2019'!F147+'1.6._mell._HVGYKCSSZ_Mérleg2019'!F147</f>
        <v>0</v>
      </c>
      <c r="H147" s="14">
        <f t="shared" si="11"/>
        <v>0</v>
      </c>
    </row>
    <row r="148" spans="1:8" s="14" customFormat="1" ht="12.75" thickBot="1">
      <c r="A148" s="105" t="s">
        <v>932</v>
      </c>
      <c r="B148" s="90" t="s">
        <v>938</v>
      </c>
      <c r="C148" s="58">
        <f>+D148+E148+F148</f>
        <v>2784133</v>
      </c>
      <c r="D148" s="56">
        <f>+'1.1.mell._ÖNK_Mérleg2019'!D148+'1.2.mell._HKÖH_Mérleg2019'!D148+'1.3.mell._HVÓBKI_Mérleg2019'!D148+'1.4.mell._HKK_Mérleg2019'!D148+'1.5._mell._MŐSZ_Mérleg2019'!D148+'1.6._mell._HVGYKCSSZ_Mérleg2019'!D148</f>
        <v>2784133</v>
      </c>
      <c r="E148" s="54">
        <f>+'1.1.mell._ÖNK_Mérleg2019'!E148+'1.2.mell._HKÖH_Mérleg2019'!E148+'1.3.mell._HVÓBKI_Mérleg2019'!E148+'1.4.mell._HKK_Mérleg2019'!E148+'1.5._mell._MŐSZ_Mérleg2019'!E148+'1.6._mell._HVGYKCSSZ_Mérleg2019'!E148</f>
        <v>0</v>
      </c>
      <c r="F148" s="55">
        <f>+'1.1.mell._ÖNK_Mérleg2019'!F148+'1.2.mell._HKÖH_Mérleg2019'!F148+'1.3.mell._HVÓBKI_Mérleg2019'!F148+'1.4.mell._HKK_Mérleg2019'!F148+'1.5._mell._MŐSZ_Mérleg2019'!F148+'1.6._mell._HVGYKCSSZ_Mérleg2019'!F148</f>
        <v>0</v>
      </c>
      <c r="H148" s="14">
        <f t="shared" si="11"/>
        <v>0</v>
      </c>
    </row>
    <row r="149" spans="1:8" s="3" customFormat="1" ht="12.75" thickBot="1">
      <c r="A149" s="99" t="s">
        <v>14</v>
      </c>
      <c r="B149" s="85" t="s">
        <v>311</v>
      </c>
      <c r="C149" s="44">
        <f>+C150+C159+C165</f>
        <v>485974</v>
      </c>
      <c r="D149" s="33">
        <f>+D150+D159+D165</f>
        <v>134674</v>
      </c>
      <c r="E149" s="34">
        <f>+E150+E159+E165</f>
        <v>351300</v>
      </c>
      <c r="F149" s="35">
        <f>+F150+F159+F165</f>
        <v>0</v>
      </c>
      <c r="G149" s="741">
        <f>+C149/$C$208</f>
        <v>0.10511593761835639</v>
      </c>
      <c r="H149" s="3">
        <f t="shared" si="11"/>
        <v>0</v>
      </c>
    </row>
    <row r="150" spans="1:8" s="3" customFormat="1" ht="12.75" thickBot="1">
      <c r="A150" s="99" t="s">
        <v>13</v>
      </c>
      <c r="B150" s="80" t="s">
        <v>312</v>
      </c>
      <c r="C150" s="44">
        <f>+C152+C153+C154+C155+C156+C157+C158</f>
        <v>466298</v>
      </c>
      <c r="D150" s="33">
        <f>+D152+D153+D154+D155+D156+D157+D158</f>
        <v>114998</v>
      </c>
      <c r="E150" s="34">
        <f>+E152+E153+E154+E155+E156+E157+E158</f>
        <v>351300</v>
      </c>
      <c r="F150" s="35">
        <f>+F152+F153+F154+F155+F156+F157+F158</f>
        <v>0</v>
      </c>
      <c r="G150" s="741">
        <f>+C150/$C$208</f>
        <v>0.10086002847799336</v>
      </c>
      <c r="H150" s="3">
        <f t="shared" si="11"/>
        <v>0</v>
      </c>
    </row>
    <row r="151" spans="1:8" s="46" customFormat="1">
      <c r="A151" s="838" t="s">
        <v>940</v>
      </c>
      <c r="B151" s="839" t="s">
        <v>342</v>
      </c>
      <c r="C151" s="112">
        <f t="shared" ref="C151:C158" si="12">+D151+E151+F151</f>
        <v>0</v>
      </c>
      <c r="D151" s="113">
        <f>+'1.1.mell._ÖNK_Mérleg2019'!D151+'1.2.mell._HKÖH_Mérleg2019'!D151+'1.3.mell._HVÓBKI_Mérleg2019'!D151+'1.4.mell._HKK_Mérleg2019'!D151+'1.5._mell._MŐSZ_Mérleg2019'!D151+'1.6._mell._HVGYKCSSZ_Mérleg2019'!D151</f>
        <v>0</v>
      </c>
      <c r="E151" s="114">
        <f>+'1.1.mell._ÖNK_Mérleg2019'!E151+'1.2.mell._HKÖH_Mérleg2019'!E151+'1.3.mell._HVÓBKI_Mérleg2019'!E151+'1.4.mell._HKK_Mérleg2019'!E151+'1.5._mell._MŐSZ_Mérleg2019'!E151+'1.6._mell._HVGYKCSSZ_Mérleg2019'!E151</f>
        <v>0</v>
      </c>
      <c r="F151" s="115">
        <f>+'1.1.mell._ÖNK_Mérleg2019'!F151+'1.2.mell._HKÖH_Mérleg2019'!F151+'1.3.mell._HVÓBKI_Mérleg2019'!F151+'1.4.mell._HKK_Mérleg2019'!F151+'1.5._mell._MŐSZ_Mérleg2019'!F151+'1.6._mell._HVGYKCSSZ_Mérleg2019'!F151</f>
        <v>0</v>
      </c>
      <c r="H151" s="46">
        <f t="shared" si="11"/>
        <v>0</v>
      </c>
    </row>
    <row r="152" spans="1:8">
      <c r="A152" s="100" t="s">
        <v>66</v>
      </c>
      <c r="B152" s="81" t="s">
        <v>152</v>
      </c>
      <c r="C152" s="36">
        <f t="shared" si="12"/>
        <v>7874</v>
      </c>
      <c r="D152" s="41">
        <f>+'1.1.mell._ÖNK_Mérleg2019'!D152+'1.2.mell._HKÖH_Mérleg2019'!D152+'1.3.mell._HVÓBKI_Mérleg2019'!D152+'1.4.mell._HKK_Mérleg2019'!D152+'1.5._mell._MŐSZ_Mérleg2019'!D152+'1.6._mell._HVGYKCSSZ_Mérleg2019'!D152</f>
        <v>7874</v>
      </c>
      <c r="E152" s="11">
        <f>+'1.1.mell._ÖNK_Mérleg2019'!E152+'1.2.mell._HKÖH_Mérleg2019'!E152+'1.3.mell._HVÓBKI_Mérleg2019'!E152+'1.4.mell._HKK_Mérleg2019'!E152+'1.5._mell._MŐSZ_Mérleg2019'!E152+'1.6._mell._HVGYKCSSZ_Mérleg2019'!E152</f>
        <v>0</v>
      </c>
      <c r="F152" s="42">
        <f>+'1.1.mell._ÖNK_Mérleg2019'!F152+'1.2.mell._HKÖH_Mérleg2019'!F152+'1.3.mell._HVÓBKI_Mérleg2019'!F152+'1.4.mell._HKK_Mérleg2019'!F152+'1.5._mell._MŐSZ_Mérleg2019'!F152+'1.6._mell._HVGYKCSSZ_Mérleg2019'!F152</f>
        <v>0</v>
      </c>
      <c r="H152" s="4">
        <f t="shared" si="11"/>
        <v>0</v>
      </c>
    </row>
    <row r="153" spans="1:8">
      <c r="A153" s="101" t="s">
        <v>67</v>
      </c>
      <c r="B153" s="83" t="s">
        <v>153</v>
      </c>
      <c r="C153" s="23">
        <f t="shared" si="12"/>
        <v>429715</v>
      </c>
      <c r="D153" s="21">
        <f>+'1.1.mell._ÖNK_Mérleg2019'!D153+'1.2.mell._HKÖH_Mérleg2019'!D153+'1.3.mell._HVÓBKI_Mérleg2019'!D153+'1.4.mell._HKK_Mérleg2019'!D153+'1.5._mell._MŐSZ_Mérleg2019'!D153+'1.6._mell._HVGYKCSSZ_Mérleg2019'!D153</f>
        <v>79715</v>
      </c>
      <c r="E153" s="12">
        <f>+'1.1.mell._ÖNK_Mérleg2019'!E153+'1.2.mell._HKÖH_Mérleg2019'!E153+'1.3.mell._HVÓBKI_Mérleg2019'!E153+'1.4.mell._HKK_Mérleg2019'!E153+'1.5._mell._MŐSZ_Mérleg2019'!E153+'1.6._mell._HVGYKCSSZ_Mérleg2019'!E153</f>
        <v>350000</v>
      </c>
      <c r="F153" s="17">
        <f>+'1.1.mell._ÖNK_Mérleg2019'!F153+'1.2.mell._HKÖH_Mérleg2019'!F153+'1.3.mell._HVÓBKI_Mérleg2019'!F153+'1.4.mell._HKK_Mérleg2019'!F153+'1.5._mell._MŐSZ_Mérleg2019'!F153+'1.6._mell._HVGYKCSSZ_Mérleg2019'!F153</f>
        <v>0</v>
      </c>
      <c r="H153" s="4">
        <f t="shared" si="11"/>
        <v>0</v>
      </c>
    </row>
    <row r="154" spans="1:8">
      <c r="A154" s="101" t="s">
        <v>68</v>
      </c>
      <c r="B154" s="83" t="s">
        <v>154</v>
      </c>
      <c r="C154" s="23">
        <f t="shared" si="12"/>
        <v>2709</v>
      </c>
      <c r="D154" s="21">
        <f>+'1.1.mell._ÖNK_Mérleg2019'!D154+'1.2.mell._HKÖH_Mérleg2019'!D154+'1.3.mell._HVÓBKI_Mérleg2019'!D154+'1.4.mell._HKK_Mérleg2019'!D154+'1.5._mell._MŐSZ_Mérleg2019'!D154+'1.6._mell._HVGYKCSSZ_Mérleg2019'!D154</f>
        <v>2709</v>
      </c>
      <c r="E154" s="12">
        <f>+'1.1.mell._ÖNK_Mérleg2019'!E154+'1.2.mell._HKÖH_Mérleg2019'!E154+'1.3.mell._HVÓBKI_Mérleg2019'!E154+'1.4.mell._HKK_Mérleg2019'!E154+'1.5._mell._MŐSZ_Mérleg2019'!E154+'1.6._mell._HVGYKCSSZ_Mérleg2019'!E154</f>
        <v>0</v>
      </c>
      <c r="F154" s="17">
        <f>+'1.1.mell._ÖNK_Mérleg2019'!F154+'1.2.mell._HKÖH_Mérleg2019'!F154+'1.3.mell._HVÓBKI_Mérleg2019'!F154+'1.4.mell._HKK_Mérleg2019'!F154+'1.5._mell._MŐSZ_Mérleg2019'!F154+'1.6._mell._HVGYKCSSZ_Mérleg2019'!F154</f>
        <v>0</v>
      </c>
      <c r="H154" s="4">
        <f t="shared" si="11"/>
        <v>0</v>
      </c>
    </row>
    <row r="155" spans="1:8">
      <c r="A155" s="101" t="s">
        <v>230</v>
      </c>
      <c r="B155" s="83" t="s">
        <v>155</v>
      </c>
      <c r="C155" s="23">
        <f t="shared" si="12"/>
        <v>10356</v>
      </c>
      <c r="D155" s="21">
        <f>+'1.1.mell._ÖNK_Mérleg2019'!D155+'1.2.mell._HKÖH_Mérleg2019'!D155+'1.3.mell._HVÓBKI_Mérleg2019'!D155+'1.4.mell._HKK_Mérleg2019'!D155+'1.5._mell._MŐSZ_Mérleg2019'!D155+'1.6._mell._HVGYKCSSZ_Mérleg2019'!D155</f>
        <v>9332</v>
      </c>
      <c r="E155" s="12">
        <f>+'1.1.mell._ÖNK_Mérleg2019'!E155+'1.2.mell._HKÖH_Mérleg2019'!E155+'1.3.mell._HVÓBKI_Mérleg2019'!E155+'1.4.mell._HKK_Mérleg2019'!E155+'1.5._mell._MŐSZ_Mérleg2019'!E155+'1.6._mell._HVGYKCSSZ_Mérleg2019'!E155</f>
        <v>1024</v>
      </c>
      <c r="F155" s="17">
        <f>+'1.1.mell._ÖNK_Mérleg2019'!F155+'1.2.mell._HKÖH_Mérleg2019'!F155+'1.3.mell._HVÓBKI_Mérleg2019'!F155+'1.4.mell._HKK_Mérleg2019'!F155+'1.5._mell._MŐSZ_Mérleg2019'!F155+'1.6._mell._HVGYKCSSZ_Mérleg2019'!F155</f>
        <v>0</v>
      </c>
      <c r="H155" s="4">
        <f t="shared" si="11"/>
        <v>0</v>
      </c>
    </row>
    <row r="156" spans="1:8">
      <c r="A156" s="101" t="s">
        <v>231</v>
      </c>
      <c r="B156" s="83" t="s">
        <v>156</v>
      </c>
      <c r="C156" s="23">
        <f t="shared" si="12"/>
        <v>0</v>
      </c>
      <c r="D156" s="21">
        <f>+'1.1.mell._ÖNK_Mérleg2019'!D156+'1.2.mell._HKÖH_Mérleg2019'!D156+'1.3.mell._HVÓBKI_Mérleg2019'!D156+'1.4.mell._HKK_Mérleg2019'!D156+'1.5._mell._MŐSZ_Mérleg2019'!D156+'1.6._mell._HVGYKCSSZ_Mérleg2019'!D156</f>
        <v>0</v>
      </c>
      <c r="E156" s="12">
        <f>+'1.1.mell._ÖNK_Mérleg2019'!E156+'1.2.mell._HKÖH_Mérleg2019'!E156+'1.3.mell._HVÓBKI_Mérleg2019'!E156+'1.4.mell._HKK_Mérleg2019'!E156+'1.5._mell._MŐSZ_Mérleg2019'!E156+'1.6._mell._HVGYKCSSZ_Mérleg2019'!E156</f>
        <v>0</v>
      </c>
      <c r="F156" s="17">
        <f>+'1.1.mell._ÖNK_Mérleg2019'!F156+'1.2.mell._HKÖH_Mérleg2019'!F156+'1.3.mell._HVÓBKI_Mérleg2019'!F156+'1.4.mell._HKK_Mérleg2019'!F156+'1.5._mell._MŐSZ_Mérleg2019'!F156+'1.6._mell._HVGYKCSSZ_Mérleg2019'!F156</f>
        <v>0</v>
      </c>
      <c r="H156" s="4">
        <f t="shared" si="11"/>
        <v>0</v>
      </c>
    </row>
    <row r="157" spans="1:8">
      <c r="A157" s="101" t="s">
        <v>269</v>
      </c>
      <c r="B157" s="83" t="s">
        <v>157</v>
      </c>
      <c r="C157" s="23">
        <f t="shared" si="12"/>
        <v>0</v>
      </c>
      <c r="D157" s="21">
        <f>+'1.1.mell._ÖNK_Mérleg2019'!D157+'1.2.mell._HKÖH_Mérleg2019'!D157+'1.3.mell._HVÓBKI_Mérleg2019'!D157+'1.4.mell._HKK_Mérleg2019'!D157+'1.5._mell._MŐSZ_Mérleg2019'!D157+'1.6._mell._HVGYKCSSZ_Mérleg2019'!D157</f>
        <v>0</v>
      </c>
      <c r="E157" s="12">
        <f>+'1.1.mell._ÖNK_Mérleg2019'!E157+'1.2.mell._HKÖH_Mérleg2019'!E157+'1.3.mell._HVÓBKI_Mérleg2019'!E157+'1.4.mell._HKK_Mérleg2019'!E157+'1.5._mell._MŐSZ_Mérleg2019'!E157+'1.6._mell._HVGYKCSSZ_Mérleg2019'!E157</f>
        <v>0</v>
      </c>
      <c r="F157" s="17">
        <f>+'1.1.mell._ÖNK_Mérleg2019'!F157+'1.2.mell._HKÖH_Mérleg2019'!F157+'1.3.mell._HVÓBKI_Mérleg2019'!F157+'1.4.mell._HKK_Mérleg2019'!F157+'1.5._mell._MŐSZ_Mérleg2019'!F157+'1.6._mell._HVGYKCSSZ_Mérleg2019'!F157</f>
        <v>0</v>
      </c>
      <c r="H157" s="4">
        <f t="shared" si="11"/>
        <v>0</v>
      </c>
    </row>
    <row r="158" spans="1:8" ht="12.75" thickBot="1">
      <c r="A158" s="94" t="s">
        <v>270</v>
      </c>
      <c r="B158" s="84" t="s">
        <v>158</v>
      </c>
      <c r="C158" s="26">
        <f t="shared" si="12"/>
        <v>15644</v>
      </c>
      <c r="D158" s="27">
        <f>+'1.1.mell._ÖNK_Mérleg2019'!D158+'1.2.mell._HKÖH_Mérleg2019'!D158+'1.3.mell._HVÓBKI_Mérleg2019'!D158+'1.4.mell._HKK_Mérleg2019'!D158+'1.5._mell._MŐSZ_Mérleg2019'!D158+'1.6._mell._HVGYKCSSZ_Mérleg2019'!D158</f>
        <v>15368</v>
      </c>
      <c r="E158" s="28">
        <f>+'1.1.mell._ÖNK_Mérleg2019'!E158+'1.2.mell._HKÖH_Mérleg2019'!E158+'1.3.mell._HVÓBKI_Mérleg2019'!E158+'1.4.mell._HKK_Mérleg2019'!E158+'1.5._mell._MŐSZ_Mérleg2019'!E158+'1.6._mell._HVGYKCSSZ_Mérleg2019'!E158</f>
        <v>276</v>
      </c>
      <c r="F158" s="29">
        <f>+'1.1.mell._ÖNK_Mérleg2019'!F158+'1.2.mell._HKÖH_Mérleg2019'!F158+'1.3.mell._HVÓBKI_Mérleg2019'!F158+'1.4.mell._HKK_Mérleg2019'!F158+'1.5._mell._MŐSZ_Mérleg2019'!F158+'1.6._mell._HVGYKCSSZ_Mérleg2019'!F158</f>
        <v>0</v>
      </c>
      <c r="H158" s="4">
        <f t="shared" si="11"/>
        <v>0</v>
      </c>
    </row>
    <row r="159" spans="1:8" s="3" customFormat="1" ht="12.75" thickBot="1">
      <c r="A159" s="99" t="s">
        <v>12</v>
      </c>
      <c r="B159" s="80" t="s">
        <v>313</v>
      </c>
      <c r="C159" s="44">
        <f>+C161+C162+C163+C164</f>
        <v>19676</v>
      </c>
      <c r="D159" s="33">
        <f>+D161+D162+D163+D164</f>
        <v>19676</v>
      </c>
      <c r="E159" s="34">
        <f>+E161+E162+E163+E164</f>
        <v>0</v>
      </c>
      <c r="F159" s="35">
        <f>+F161+F162+F163+F164</f>
        <v>0</v>
      </c>
      <c r="G159" s="741">
        <f>+C159/$C$208</f>
        <v>4.2559091403630237E-3</v>
      </c>
      <c r="H159" s="3">
        <f t="shared" si="11"/>
        <v>0</v>
      </c>
    </row>
    <row r="160" spans="1:8" s="46" customFormat="1">
      <c r="A160" s="838" t="s">
        <v>344</v>
      </c>
      <c r="B160" s="839" t="s">
        <v>345</v>
      </c>
      <c r="C160" s="112">
        <f>+D160+E160+F160</f>
        <v>0</v>
      </c>
      <c r="D160" s="113">
        <f>+'1.1.mell._ÖNK_Mérleg2019'!D160+'1.2.mell._HKÖH_Mérleg2019'!D160+'1.3.mell._HVÓBKI_Mérleg2019'!D160+'1.4.mell._HKK_Mérleg2019'!D160+'1.5._mell._MŐSZ_Mérleg2019'!D160+'1.6._mell._HVGYKCSSZ_Mérleg2019'!D160</f>
        <v>0</v>
      </c>
      <c r="E160" s="114">
        <f>+'1.1.mell._ÖNK_Mérleg2019'!E160+'1.2.mell._HKÖH_Mérleg2019'!E160+'1.3.mell._HVÓBKI_Mérleg2019'!E160+'1.4.mell._HKK_Mérleg2019'!E160+'1.5._mell._MŐSZ_Mérleg2019'!E160+'1.6._mell._HVGYKCSSZ_Mérleg2019'!E160</f>
        <v>0</v>
      </c>
      <c r="F160" s="115">
        <f>+'1.1.mell._ÖNK_Mérleg2019'!F160+'1.2.mell._HKÖH_Mérleg2019'!F160+'1.3.mell._HVÓBKI_Mérleg2019'!F160+'1.4.mell._HKK_Mérleg2019'!F160+'1.5._mell._MŐSZ_Mérleg2019'!F160+'1.6._mell._HVGYKCSSZ_Mérleg2019'!F160</f>
        <v>0</v>
      </c>
      <c r="H160" s="46">
        <f t="shared" si="11"/>
        <v>0</v>
      </c>
    </row>
    <row r="161" spans="1:8">
      <c r="A161" s="100" t="s">
        <v>69</v>
      </c>
      <c r="B161" s="81" t="s">
        <v>159</v>
      </c>
      <c r="C161" s="36">
        <f>+D161+E161+F161</f>
        <v>15492</v>
      </c>
      <c r="D161" s="41">
        <f>+'1.1.mell._ÖNK_Mérleg2019'!D161+'1.2.mell._HKÖH_Mérleg2019'!D161+'1.3.mell._HVÓBKI_Mérleg2019'!D161+'1.4.mell._HKK_Mérleg2019'!D161+'1.5._mell._MŐSZ_Mérleg2019'!D161+'1.6._mell._HVGYKCSSZ_Mérleg2019'!D161</f>
        <v>15492</v>
      </c>
      <c r="E161" s="11">
        <f>+'1.1.mell._ÖNK_Mérleg2019'!E161+'1.2.mell._HKÖH_Mérleg2019'!E161+'1.3.mell._HVÓBKI_Mérleg2019'!E161+'1.4.mell._HKK_Mérleg2019'!E161+'1.5._mell._MŐSZ_Mérleg2019'!E161+'1.6._mell._HVGYKCSSZ_Mérleg2019'!E161</f>
        <v>0</v>
      </c>
      <c r="F161" s="42">
        <f>+'1.1.mell._ÖNK_Mérleg2019'!F161+'1.2.mell._HKÖH_Mérleg2019'!F161+'1.3.mell._HVÓBKI_Mérleg2019'!F161+'1.4.mell._HKK_Mérleg2019'!F161+'1.5._mell._MŐSZ_Mérleg2019'!F161+'1.6._mell._HVGYKCSSZ_Mérleg2019'!F161</f>
        <v>0</v>
      </c>
      <c r="H161" s="4">
        <f t="shared" si="11"/>
        <v>0</v>
      </c>
    </row>
    <row r="162" spans="1:8">
      <c r="A162" s="101" t="s">
        <v>70</v>
      </c>
      <c r="B162" s="83" t="s">
        <v>160</v>
      </c>
      <c r="C162" s="23">
        <f>+D162+E162+F162</f>
        <v>0</v>
      </c>
      <c r="D162" s="21">
        <f>+'1.1.mell._ÖNK_Mérleg2019'!D162+'1.2.mell._HKÖH_Mérleg2019'!D162+'1.3.mell._HVÓBKI_Mérleg2019'!D162+'1.4.mell._HKK_Mérleg2019'!D162+'1.5._mell._MŐSZ_Mérleg2019'!D162+'1.6._mell._HVGYKCSSZ_Mérleg2019'!D162</f>
        <v>0</v>
      </c>
      <c r="E162" s="12">
        <f>+'1.1.mell._ÖNK_Mérleg2019'!E162+'1.2.mell._HKÖH_Mérleg2019'!E162+'1.3.mell._HVÓBKI_Mérleg2019'!E162+'1.4.mell._HKK_Mérleg2019'!E162+'1.5._mell._MŐSZ_Mérleg2019'!E162+'1.6._mell._HVGYKCSSZ_Mérleg2019'!E162</f>
        <v>0</v>
      </c>
      <c r="F162" s="17">
        <f>+'1.1.mell._ÖNK_Mérleg2019'!F162+'1.2.mell._HKÖH_Mérleg2019'!F162+'1.3.mell._HVÓBKI_Mérleg2019'!F162+'1.4.mell._HKK_Mérleg2019'!F162+'1.5._mell._MŐSZ_Mérleg2019'!F162+'1.6._mell._HVGYKCSSZ_Mérleg2019'!F162</f>
        <v>0</v>
      </c>
      <c r="H162" s="4">
        <f t="shared" si="11"/>
        <v>0</v>
      </c>
    </row>
    <row r="163" spans="1:8">
      <c r="A163" s="101" t="s">
        <v>71</v>
      </c>
      <c r="B163" s="83" t="s">
        <v>161</v>
      </c>
      <c r="C163" s="23">
        <f>+D163+E163+F163</f>
        <v>0</v>
      </c>
      <c r="D163" s="21">
        <f>+'1.1.mell._ÖNK_Mérleg2019'!D163+'1.2.mell._HKÖH_Mérleg2019'!D163+'1.3.mell._HVÓBKI_Mérleg2019'!D163+'1.4.mell._HKK_Mérleg2019'!D163+'1.5._mell._MŐSZ_Mérleg2019'!D163+'1.6._mell._HVGYKCSSZ_Mérleg2019'!D163</f>
        <v>0</v>
      </c>
      <c r="E163" s="12">
        <f>+'1.1.mell._ÖNK_Mérleg2019'!E163+'1.2.mell._HKÖH_Mérleg2019'!E163+'1.3.mell._HVÓBKI_Mérleg2019'!E163+'1.4.mell._HKK_Mérleg2019'!E163+'1.5._mell._MŐSZ_Mérleg2019'!E163+'1.6._mell._HVGYKCSSZ_Mérleg2019'!E163</f>
        <v>0</v>
      </c>
      <c r="F163" s="17">
        <f>+'1.1.mell._ÖNK_Mérleg2019'!F163+'1.2.mell._HKÖH_Mérleg2019'!F163+'1.3.mell._HVÓBKI_Mérleg2019'!F163+'1.4.mell._HKK_Mérleg2019'!F163+'1.5._mell._MŐSZ_Mérleg2019'!F163+'1.6._mell._HVGYKCSSZ_Mérleg2019'!F163</f>
        <v>0</v>
      </c>
      <c r="H163" s="4">
        <f t="shared" si="11"/>
        <v>0</v>
      </c>
    </row>
    <row r="164" spans="1:8" ht="12.75" thickBot="1">
      <c r="A164" s="94" t="s">
        <v>72</v>
      </c>
      <c r="B164" s="84" t="s">
        <v>162</v>
      </c>
      <c r="C164" s="26">
        <f>+D164+E164+F164</f>
        <v>4184</v>
      </c>
      <c r="D164" s="27">
        <f>+'1.1.mell._ÖNK_Mérleg2019'!D164+'1.2.mell._HKÖH_Mérleg2019'!D164+'1.3.mell._HVÓBKI_Mérleg2019'!D164+'1.4.mell._HKK_Mérleg2019'!D164+'1.5._mell._MŐSZ_Mérleg2019'!D164+'1.6._mell._HVGYKCSSZ_Mérleg2019'!D164</f>
        <v>4184</v>
      </c>
      <c r="E164" s="28">
        <f>+'1.1.mell._ÖNK_Mérleg2019'!E164+'1.2.mell._HKÖH_Mérleg2019'!E164+'1.3.mell._HVÓBKI_Mérleg2019'!E164+'1.4.mell._HKK_Mérleg2019'!E164+'1.5._mell._MŐSZ_Mérleg2019'!E164+'1.6._mell._HVGYKCSSZ_Mérleg2019'!E164</f>
        <v>0</v>
      </c>
      <c r="F164" s="29">
        <f>+'1.1.mell._ÖNK_Mérleg2019'!F164+'1.2.mell._HKÖH_Mérleg2019'!F164+'1.3.mell._HVÓBKI_Mérleg2019'!F164+'1.4.mell._HKK_Mérleg2019'!F164+'1.5._mell._MŐSZ_Mérleg2019'!F164+'1.6._mell._HVGYKCSSZ_Mérleg2019'!F164</f>
        <v>0</v>
      </c>
      <c r="H164" s="4">
        <f t="shared" si="11"/>
        <v>0</v>
      </c>
    </row>
    <row r="165" spans="1:8" s="3" customFormat="1" ht="12.75" thickBot="1">
      <c r="A165" s="99" t="s">
        <v>11</v>
      </c>
      <c r="B165" s="80" t="s">
        <v>942</v>
      </c>
      <c r="C165" s="44">
        <f>+C166+C167+C168+C169+C171+C172+C173+C174+C175</f>
        <v>0</v>
      </c>
      <c r="D165" s="33">
        <f>+D166+D167+D168+D169+D171+D172+D173+D174+D175</f>
        <v>0</v>
      </c>
      <c r="E165" s="34">
        <f>+E166+E167+E168+E169+E171+E172+E173+E174+E175</f>
        <v>0</v>
      </c>
      <c r="F165" s="35">
        <f>+F166+F167+F168+F169+F171+F172+F173+F174+F175</f>
        <v>0</v>
      </c>
      <c r="G165" s="741">
        <f>+C165/$C$208</f>
        <v>0</v>
      </c>
      <c r="H165" s="3">
        <f t="shared" si="11"/>
        <v>0</v>
      </c>
    </row>
    <row r="166" spans="1:8">
      <c r="A166" s="100" t="s">
        <v>271</v>
      </c>
      <c r="B166" s="81" t="s">
        <v>163</v>
      </c>
      <c r="C166" s="36">
        <f t="shared" ref="C166:C175" si="13">+D166+E166+F166</f>
        <v>0</v>
      </c>
      <c r="D166" s="41">
        <f>+'1.1.mell._ÖNK_Mérleg2019'!D166+'1.2.mell._HKÖH_Mérleg2019'!D166+'1.3.mell._HVÓBKI_Mérleg2019'!D166+'1.4.mell._HKK_Mérleg2019'!D166+'1.5._mell._MŐSZ_Mérleg2019'!D166+'1.6._mell._HVGYKCSSZ_Mérleg2019'!D166</f>
        <v>0</v>
      </c>
      <c r="E166" s="11">
        <f>+'1.1.mell._ÖNK_Mérleg2019'!E166+'1.2.mell._HKÖH_Mérleg2019'!E166+'1.3.mell._HVÓBKI_Mérleg2019'!E166+'1.4.mell._HKK_Mérleg2019'!E166+'1.5._mell._MŐSZ_Mérleg2019'!E166+'1.6._mell._HVGYKCSSZ_Mérleg2019'!E166</f>
        <v>0</v>
      </c>
      <c r="F166" s="42">
        <f>+'1.1.mell._ÖNK_Mérleg2019'!F166+'1.2.mell._HKÖH_Mérleg2019'!F166+'1.3.mell._HVÓBKI_Mérleg2019'!F166+'1.4.mell._HKK_Mérleg2019'!F166+'1.5._mell._MŐSZ_Mérleg2019'!F166+'1.6._mell._HVGYKCSSZ_Mérleg2019'!F166</f>
        <v>0</v>
      </c>
      <c r="H166" s="4">
        <f t="shared" si="11"/>
        <v>0</v>
      </c>
    </row>
    <row r="167" spans="1:8">
      <c r="A167" s="101" t="s">
        <v>272</v>
      </c>
      <c r="B167" s="83" t="s">
        <v>164</v>
      </c>
      <c r="C167" s="23">
        <f t="shared" si="13"/>
        <v>0</v>
      </c>
      <c r="D167" s="21">
        <f>+'1.1.mell._ÖNK_Mérleg2019'!D167+'1.2.mell._HKÖH_Mérleg2019'!D167+'1.3.mell._HVÓBKI_Mérleg2019'!D167+'1.4.mell._HKK_Mérleg2019'!D167+'1.5._mell._MŐSZ_Mérleg2019'!D167+'1.6._mell._HVGYKCSSZ_Mérleg2019'!D167</f>
        <v>0</v>
      </c>
      <c r="E167" s="12">
        <f>+'1.1.mell._ÖNK_Mérleg2019'!E167+'1.2.mell._HKÖH_Mérleg2019'!E167+'1.3.mell._HVÓBKI_Mérleg2019'!E167+'1.4.mell._HKK_Mérleg2019'!E167+'1.5._mell._MŐSZ_Mérleg2019'!E167+'1.6._mell._HVGYKCSSZ_Mérleg2019'!E167</f>
        <v>0</v>
      </c>
      <c r="F167" s="17">
        <f>+'1.1.mell._ÖNK_Mérleg2019'!F167+'1.2.mell._HKÖH_Mérleg2019'!F167+'1.3.mell._HVÓBKI_Mérleg2019'!F167+'1.4.mell._HKK_Mérleg2019'!F167+'1.5._mell._MŐSZ_Mérleg2019'!F167+'1.6._mell._HVGYKCSSZ_Mérleg2019'!F167</f>
        <v>0</v>
      </c>
      <c r="H167" s="4">
        <f t="shared" si="11"/>
        <v>0</v>
      </c>
    </row>
    <row r="168" spans="1:8">
      <c r="A168" s="101" t="s">
        <v>273</v>
      </c>
      <c r="B168" s="83" t="s">
        <v>165</v>
      </c>
      <c r="C168" s="23">
        <f t="shared" si="13"/>
        <v>0</v>
      </c>
      <c r="D168" s="21">
        <f>+'1.1.mell._ÖNK_Mérleg2019'!D168+'1.2.mell._HKÖH_Mérleg2019'!D168+'1.3.mell._HVÓBKI_Mérleg2019'!D168+'1.4.mell._HKK_Mérleg2019'!D168+'1.5._mell._MŐSZ_Mérleg2019'!D168+'1.6._mell._HVGYKCSSZ_Mérleg2019'!D168</f>
        <v>0</v>
      </c>
      <c r="E168" s="12">
        <f>+'1.1.mell._ÖNK_Mérleg2019'!E168+'1.2.mell._HKÖH_Mérleg2019'!E168+'1.3.mell._HVÓBKI_Mérleg2019'!E168+'1.4.mell._HKK_Mérleg2019'!E168+'1.5._mell._MŐSZ_Mérleg2019'!E168+'1.6._mell._HVGYKCSSZ_Mérleg2019'!E168</f>
        <v>0</v>
      </c>
      <c r="F168" s="17">
        <f>+'1.1.mell._ÖNK_Mérleg2019'!F168+'1.2.mell._HKÖH_Mérleg2019'!F168+'1.3.mell._HVÓBKI_Mérleg2019'!F168+'1.4.mell._HKK_Mérleg2019'!F168+'1.5._mell._MŐSZ_Mérleg2019'!F168+'1.6._mell._HVGYKCSSZ_Mérleg2019'!F168</f>
        <v>0</v>
      </c>
      <c r="H168" s="4">
        <f t="shared" si="11"/>
        <v>0</v>
      </c>
    </row>
    <row r="169" spans="1:8">
      <c r="A169" s="101" t="s">
        <v>274</v>
      </c>
      <c r="B169" s="83" t="s">
        <v>166</v>
      </c>
      <c r="C169" s="23">
        <f t="shared" si="13"/>
        <v>0</v>
      </c>
      <c r="D169" s="21">
        <f>+'1.1.mell._ÖNK_Mérleg2019'!D169+'1.2.mell._HKÖH_Mérleg2019'!D169+'1.3.mell._HVÓBKI_Mérleg2019'!D169+'1.4.mell._HKK_Mérleg2019'!D169+'1.5._mell._MŐSZ_Mérleg2019'!D169+'1.6._mell._HVGYKCSSZ_Mérleg2019'!D169</f>
        <v>0</v>
      </c>
      <c r="E169" s="12">
        <f>+'1.1.mell._ÖNK_Mérleg2019'!E169+'1.2.mell._HKÖH_Mérleg2019'!E169+'1.3.mell._HVÓBKI_Mérleg2019'!E169+'1.4.mell._HKK_Mérleg2019'!E169+'1.5._mell._MŐSZ_Mérleg2019'!E169+'1.6._mell._HVGYKCSSZ_Mérleg2019'!E169</f>
        <v>0</v>
      </c>
      <c r="F169" s="17">
        <f>+'1.1.mell._ÖNK_Mérleg2019'!F169+'1.2.mell._HKÖH_Mérleg2019'!F169+'1.3.mell._HVÓBKI_Mérleg2019'!F169+'1.4.mell._HKK_Mérleg2019'!F169+'1.5._mell._MŐSZ_Mérleg2019'!F169+'1.6._mell._HVGYKCSSZ_Mérleg2019'!F169</f>
        <v>0</v>
      </c>
      <c r="H169" s="4">
        <f t="shared" si="11"/>
        <v>0</v>
      </c>
    </row>
    <row r="170" spans="1:8" s="14" customFormat="1">
      <c r="A170" s="105" t="s">
        <v>339</v>
      </c>
      <c r="B170" s="837" t="s">
        <v>340</v>
      </c>
      <c r="C170" s="58">
        <f t="shared" si="13"/>
        <v>0</v>
      </c>
      <c r="D170" s="56">
        <f>+'1.1.mell._ÖNK_Mérleg2019'!D170+'1.2.mell._HKÖH_Mérleg2019'!D170+'1.3.mell._HVÓBKI_Mérleg2019'!D170+'1.4.mell._HKK_Mérleg2019'!D170+'1.5._mell._MŐSZ_Mérleg2019'!D170+'1.6._mell._HVGYKCSSZ_Mérleg2019'!D170</f>
        <v>0</v>
      </c>
      <c r="E170" s="54">
        <f>+'1.1.mell._ÖNK_Mérleg2019'!E170+'1.2.mell._HKÖH_Mérleg2019'!E170+'1.3.mell._HVÓBKI_Mérleg2019'!E170+'1.4.mell._HKK_Mérleg2019'!E170+'1.5._mell._MŐSZ_Mérleg2019'!E170+'1.6._mell._HVGYKCSSZ_Mérleg2019'!E170</f>
        <v>0</v>
      </c>
      <c r="F170" s="55">
        <f>+'1.1.mell._ÖNK_Mérleg2019'!F170+'1.2.mell._HKÖH_Mérleg2019'!F170+'1.3.mell._HVÓBKI_Mérleg2019'!F170+'1.4.mell._HKK_Mérleg2019'!F170+'1.5._mell._MŐSZ_Mérleg2019'!F170+'1.6._mell._HVGYKCSSZ_Mérleg2019'!F170</f>
        <v>0</v>
      </c>
      <c r="H170" s="14">
        <f t="shared" si="11"/>
        <v>0</v>
      </c>
    </row>
    <row r="171" spans="1:8">
      <c r="A171" s="101" t="s">
        <v>275</v>
      </c>
      <c r="B171" s="83" t="s">
        <v>167</v>
      </c>
      <c r="C171" s="23">
        <f t="shared" si="13"/>
        <v>0</v>
      </c>
      <c r="D171" s="21">
        <f>+'1.1.mell._ÖNK_Mérleg2019'!D171+'1.2.mell._HKÖH_Mérleg2019'!D171+'1.3.mell._HVÓBKI_Mérleg2019'!D171+'1.4.mell._HKK_Mérleg2019'!D171+'1.5._mell._MŐSZ_Mérleg2019'!D171+'1.6._mell._HVGYKCSSZ_Mérleg2019'!D171</f>
        <v>0</v>
      </c>
      <c r="E171" s="12">
        <f>+'1.1.mell._ÖNK_Mérleg2019'!E171+'1.2.mell._HKÖH_Mérleg2019'!E171+'1.3.mell._HVÓBKI_Mérleg2019'!E171+'1.4.mell._HKK_Mérleg2019'!E171+'1.5._mell._MŐSZ_Mérleg2019'!E171+'1.6._mell._HVGYKCSSZ_Mérleg2019'!E171</f>
        <v>0</v>
      </c>
      <c r="F171" s="17">
        <f>+'1.1.mell._ÖNK_Mérleg2019'!F171+'1.2.mell._HKÖH_Mérleg2019'!F171+'1.3.mell._HVÓBKI_Mérleg2019'!F171+'1.4.mell._HKK_Mérleg2019'!F171+'1.5._mell._MŐSZ_Mérleg2019'!F171+'1.6._mell._HVGYKCSSZ_Mérleg2019'!F171</f>
        <v>0</v>
      </c>
      <c r="H171" s="4">
        <f t="shared" si="11"/>
        <v>0</v>
      </c>
    </row>
    <row r="172" spans="1:8">
      <c r="A172" s="101" t="s">
        <v>276</v>
      </c>
      <c r="B172" s="83" t="s">
        <v>168</v>
      </c>
      <c r="C172" s="23">
        <f t="shared" si="13"/>
        <v>0</v>
      </c>
      <c r="D172" s="21">
        <f>+'1.1.mell._ÖNK_Mérleg2019'!D172+'1.2.mell._HKÖH_Mérleg2019'!D172+'1.3.mell._HVÓBKI_Mérleg2019'!D172+'1.4.mell._HKK_Mérleg2019'!D172+'1.5._mell._MŐSZ_Mérleg2019'!D172+'1.6._mell._HVGYKCSSZ_Mérleg2019'!D172</f>
        <v>0</v>
      </c>
      <c r="E172" s="12">
        <f>+'1.1.mell._ÖNK_Mérleg2019'!E172+'1.2.mell._HKÖH_Mérleg2019'!E172+'1.3.mell._HVÓBKI_Mérleg2019'!E172+'1.4.mell._HKK_Mérleg2019'!E172+'1.5._mell._MŐSZ_Mérleg2019'!E172+'1.6._mell._HVGYKCSSZ_Mérleg2019'!E172</f>
        <v>0</v>
      </c>
      <c r="F172" s="17">
        <f>+'1.1.mell._ÖNK_Mérleg2019'!F172+'1.2.mell._HKÖH_Mérleg2019'!F172+'1.3.mell._HVÓBKI_Mérleg2019'!F172+'1.4.mell._HKK_Mérleg2019'!F172+'1.5._mell._MŐSZ_Mérleg2019'!F172+'1.6._mell._HVGYKCSSZ_Mérleg2019'!F172</f>
        <v>0</v>
      </c>
      <c r="H172" s="4">
        <f t="shared" si="11"/>
        <v>0</v>
      </c>
    </row>
    <row r="173" spans="1:8">
      <c r="A173" s="101" t="s">
        <v>277</v>
      </c>
      <c r="B173" s="83" t="s">
        <v>169</v>
      </c>
      <c r="C173" s="23">
        <f t="shared" si="13"/>
        <v>0</v>
      </c>
      <c r="D173" s="21">
        <f>+'1.1.mell._ÖNK_Mérleg2019'!D173+'1.2.mell._HKÖH_Mérleg2019'!D173+'1.3.mell._HVÓBKI_Mérleg2019'!D173+'1.4.mell._HKK_Mérleg2019'!D173+'1.5._mell._MŐSZ_Mérleg2019'!D173+'1.6._mell._HVGYKCSSZ_Mérleg2019'!D173</f>
        <v>0</v>
      </c>
      <c r="E173" s="12">
        <f>+'1.1.mell._ÖNK_Mérleg2019'!E173+'1.2.mell._HKÖH_Mérleg2019'!E173+'1.3.mell._HVÓBKI_Mérleg2019'!E173+'1.4.mell._HKK_Mérleg2019'!E173+'1.5._mell._MŐSZ_Mérleg2019'!E173+'1.6._mell._HVGYKCSSZ_Mérleg2019'!E173</f>
        <v>0</v>
      </c>
      <c r="F173" s="17">
        <f>+'1.1.mell._ÖNK_Mérleg2019'!F173+'1.2.mell._HKÖH_Mérleg2019'!F173+'1.3.mell._HVÓBKI_Mérleg2019'!F173+'1.4.mell._HKK_Mérleg2019'!F173+'1.5._mell._MŐSZ_Mérleg2019'!F173+'1.6._mell._HVGYKCSSZ_Mérleg2019'!F173</f>
        <v>0</v>
      </c>
      <c r="H173" s="4">
        <f t="shared" si="11"/>
        <v>0</v>
      </c>
    </row>
    <row r="174" spans="1:8">
      <c r="A174" s="101" t="s">
        <v>278</v>
      </c>
      <c r="B174" s="83" t="s">
        <v>943</v>
      </c>
      <c r="C174" s="23">
        <f>+D174+E174+F174</f>
        <v>0</v>
      </c>
      <c r="D174" s="21">
        <f>+'1.1.mell._ÖNK_Mérleg2019'!D174+'1.2.mell._HKÖH_Mérleg2019'!D174+'1.3.mell._HVÓBKI_Mérleg2019'!D174+'1.4.mell._HKK_Mérleg2019'!D174+'1.5._mell._MŐSZ_Mérleg2019'!D174+'1.6._mell._HVGYKCSSZ_Mérleg2019'!D174</f>
        <v>0</v>
      </c>
      <c r="E174" s="12">
        <f>+'1.1.mell._ÖNK_Mérleg2019'!E174+'1.2.mell._HKÖH_Mérleg2019'!E174+'1.3.mell._HVÓBKI_Mérleg2019'!E174+'1.4.mell._HKK_Mérleg2019'!E174+'1.5._mell._MŐSZ_Mérleg2019'!E174+'1.6._mell._HVGYKCSSZ_Mérleg2019'!E174</f>
        <v>0</v>
      </c>
      <c r="F174" s="17">
        <f>+'1.1.mell._ÖNK_Mérleg2019'!F174+'1.2.mell._HKÖH_Mérleg2019'!F174+'1.3.mell._HVÓBKI_Mérleg2019'!F174+'1.4.mell._HKK_Mérleg2019'!F174+'1.5._mell._MŐSZ_Mérleg2019'!F174+'1.6._mell._HVGYKCSSZ_Mérleg2019'!F174</f>
        <v>0</v>
      </c>
      <c r="H174" s="4">
        <f t="shared" si="11"/>
        <v>0</v>
      </c>
    </row>
    <row r="175" spans="1:8" ht="12.75" thickBot="1">
      <c r="A175" s="94" t="s">
        <v>941</v>
      </c>
      <c r="B175" s="84" t="s">
        <v>944</v>
      </c>
      <c r="C175" s="26">
        <f t="shared" si="13"/>
        <v>0</v>
      </c>
      <c r="D175" s="27">
        <f>+'1.1.mell._ÖNK_Mérleg2019'!D175+'1.2.mell._HKÖH_Mérleg2019'!D175+'1.3.mell._HVÓBKI_Mérleg2019'!D175+'1.4.mell._HKK_Mérleg2019'!D175+'1.5._mell._MŐSZ_Mérleg2019'!D175+'1.6._mell._HVGYKCSSZ_Mérleg2019'!D175</f>
        <v>0</v>
      </c>
      <c r="E175" s="28">
        <f>+'1.1.mell._ÖNK_Mérleg2019'!E175+'1.2.mell._HKÖH_Mérleg2019'!E175+'1.3.mell._HVÓBKI_Mérleg2019'!E175+'1.4.mell._HKK_Mérleg2019'!E175+'1.5._mell._MŐSZ_Mérleg2019'!E175+'1.6._mell._HVGYKCSSZ_Mérleg2019'!E175</f>
        <v>0</v>
      </c>
      <c r="F175" s="29">
        <f>+'1.1.mell._ÖNK_Mérleg2019'!F175+'1.2.mell._HKÖH_Mérleg2019'!F175+'1.3.mell._HVÓBKI_Mérleg2019'!F175+'1.4.mell._HKK_Mérleg2019'!F175+'1.5._mell._MŐSZ_Mérleg2019'!F175+'1.6._mell._HVGYKCSSZ_Mérleg2019'!F175</f>
        <v>0</v>
      </c>
      <c r="H175" s="4">
        <f t="shared" si="11"/>
        <v>0</v>
      </c>
    </row>
    <row r="176" spans="1:8" s="3" customFormat="1" ht="12.75" thickBot="1">
      <c r="A176" s="99" t="s">
        <v>10</v>
      </c>
      <c r="B176" s="85" t="s">
        <v>314</v>
      </c>
      <c r="C176" s="44">
        <f>+C109+C149</f>
        <v>4596548</v>
      </c>
      <c r="D176" s="33">
        <f>+D109+D149</f>
        <v>4184462</v>
      </c>
      <c r="E176" s="34">
        <f>+E109+E149</f>
        <v>412086</v>
      </c>
      <c r="F176" s="35">
        <f>+F109+F149</f>
        <v>0</v>
      </c>
      <c r="G176" s="741">
        <f>+C176/$C$208</f>
        <v>0.99423107579372727</v>
      </c>
      <c r="H176" s="3">
        <f t="shared" si="11"/>
        <v>0</v>
      </c>
    </row>
    <row r="177" spans="1:8" s="3" customFormat="1" ht="12.75" thickBot="1">
      <c r="A177" s="99" t="s">
        <v>9</v>
      </c>
      <c r="B177" s="86" t="s">
        <v>315</v>
      </c>
      <c r="C177" s="44">
        <f>+C178</f>
        <v>26671</v>
      </c>
      <c r="D177" s="33">
        <f>+D178</f>
        <v>26671</v>
      </c>
      <c r="E177" s="34">
        <f>+E178</f>
        <v>0</v>
      </c>
      <c r="F177" s="35">
        <f>+F178</f>
        <v>0</v>
      </c>
      <c r="G177" s="741">
        <f>+C177/$C$208</f>
        <v>5.7689242062727289E-3</v>
      </c>
      <c r="H177" s="3">
        <f t="shared" si="11"/>
        <v>0</v>
      </c>
    </row>
    <row r="178" spans="1:8" s="3" customFormat="1" ht="12.75" thickBot="1">
      <c r="A178" s="99" t="s">
        <v>45</v>
      </c>
      <c r="B178" s="80" t="s">
        <v>951</v>
      </c>
      <c r="C178" s="44">
        <f>+C179+C189+C190+C191</f>
        <v>26671</v>
      </c>
      <c r="D178" s="33">
        <f>+D179+D189+D190+D191</f>
        <v>26671</v>
      </c>
      <c r="E178" s="34">
        <f>+E179+E189+E190+E191</f>
        <v>0</v>
      </c>
      <c r="F178" s="35">
        <f>+F179+F189+F190+F191</f>
        <v>0</v>
      </c>
      <c r="G178" s="741">
        <f>+C178/$C$208</f>
        <v>5.7689242062727289E-3</v>
      </c>
      <c r="H178" s="3">
        <f t="shared" si="11"/>
        <v>0</v>
      </c>
    </row>
    <row r="179" spans="1:8">
      <c r="A179" s="100" t="s">
        <v>75</v>
      </c>
      <c r="B179" s="81" t="s">
        <v>952</v>
      </c>
      <c r="C179" s="36">
        <f>+C180+C181+C182+C183+C184+C185+C186+C187+C188</f>
        <v>26671</v>
      </c>
      <c r="D179" s="41">
        <f>+D180+D181+D182+D183+D184+D185+D186+D187+D188</f>
        <v>26671</v>
      </c>
      <c r="E179" s="11">
        <f>+E180+E181+E182+E183+E184+E185+E186+E187+E188</f>
        <v>0</v>
      </c>
      <c r="F179" s="42">
        <f>+F180+F181+F182+F183+F184+F185+F186+F187+F188</f>
        <v>0</v>
      </c>
      <c r="H179" s="4">
        <f t="shared" si="11"/>
        <v>0</v>
      </c>
    </row>
    <row r="180" spans="1:8" s="14" customFormat="1">
      <c r="A180" s="102" t="s">
        <v>205</v>
      </c>
      <c r="B180" s="82" t="s">
        <v>170</v>
      </c>
      <c r="C180" s="24">
        <f t="shared" ref="C180:C190" si="14">+D180+E180+F180</f>
        <v>0</v>
      </c>
      <c r="D180" s="20">
        <f>+'1.1.mell._ÖNK_Mérleg2019'!D180+'1.2.mell._HKÖH_Mérleg2019'!D180+'1.3.mell._HVÓBKI_Mérleg2019'!D180+'1.4.mell._HKK_Mérleg2019'!D180+'1.5._mell._MŐSZ_Mérleg2019'!D180+'1.6._mell._HVGYKCSSZ_Mérleg2019'!D180</f>
        <v>0</v>
      </c>
      <c r="E180" s="13">
        <f>+'1.1.mell._ÖNK_Mérleg2019'!E180+'1.2.mell._HKÖH_Mérleg2019'!E180+'1.3.mell._HVÓBKI_Mérleg2019'!E180+'1.4.mell._HKK_Mérleg2019'!E180+'1.5._mell._MŐSZ_Mérleg2019'!E180+'1.6._mell._HVGYKCSSZ_Mérleg2019'!E180</f>
        <v>0</v>
      </c>
      <c r="F180" s="16">
        <f>+'1.1.mell._ÖNK_Mérleg2019'!F180+'1.2.mell._HKÖH_Mérleg2019'!F180+'1.3.mell._HVÓBKI_Mérleg2019'!F180+'1.4.mell._HKK_Mérleg2019'!F180+'1.5._mell._MŐSZ_Mérleg2019'!F180+'1.6._mell._HVGYKCSSZ_Mérleg2019'!F180</f>
        <v>0</v>
      </c>
      <c r="H180" s="14">
        <f t="shared" si="11"/>
        <v>0</v>
      </c>
    </row>
    <row r="181" spans="1:8" s="14" customFormat="1">
      <c r="A181" s="102" t="s">
        <v>206</v>
      </c>
      <c r="B181" s="82" t="s">
        <v>171</v>
      </c>
      <c r="C181" s="24">
        <f t="shared" si="14"/>
        <v>0</v>
      </c>
      <c r="D181" s="20">
        <f>+'1.1.mell._ÖNK_Mérleg2019'!D181+'1.2.mell._HKÖH_Mérleg2019'!D181+'1.3.mell._HVÓBKI_Mérleg2019'!D181+'1.4.mell._HKK_Mérleg2019'!D181+'1.5._mell._MŐSZ_Mérleg2019'!D181+'1.6._mell._HVGYKCSSZ_Mérleg2019'!D181</f>
        <v>0</v>
      </c>
      <c r="E181" s="13">
        <f>+'1.1.mell._ÖNK_Mérleg2019'!E181+'1.2.mell._HKÖH_Mérleg2019'!E181+'1.3.mell._HVÓBKI_Mérleg2019'!E181+'1.4.mell._HKK_Mérleg2019'!E181+'1.5._mell._MŐSZ_Mérleg2019'!E181+'1.6._mell._HVGYKCSSZ_Mérleg2019'!E181</f>
        <v>0</v>
      </c>
      <c r="F181" s="16">
        <f>+'1.1.mell._ÖNK_Mérleg2019'!F181+'1.2.mell._HKÖH_Mérleg2019'!F181+'1.3.mell._HVÓBKI_Mérleg2019'!F181+'1.4.mell._HKK_Mérleg2019'!F181+'1.5._mell._MŐSZ_Mérleg2019'!F181+'1.6._mell._HVGYKCSSZ_Mérleg2019'!F181</f>
        <v>0</v>
      </c>
      <c r="H181" s="14">
        <f t="shared" si="11"/>
        <v>0</v>
      </c>
    </row>
    <row r="182" spans="1:8" s="14" customFormat="1">
      <c r="A182" s="102" t="s">
        <v>207</v>
      </c>
      <c r="B182" s="82" t="s">
        <v>172</v>
      </c>
      <c r="C182" s="24">
        <f t="shared" si="14"/>
        <v>0</v>
      </c>
      <c r="D182" s="20">
        <f>+'1.1.mell._ÖNK_Mérleg2019'!D182+'1.2.mell._HKÖH_Mérleg2019'!D182+'1.3.mell._HVÓBKI_Mérleg2019'!D182+'1.4.mell._HKK_Mérleg2019'!D182+'1.5._mell._MŐSZ_Mérleg2019'!D182+'1.6._mell._HVGYKCSSZ_Mérleg2019'!D182</f>
        <v>0</v>
      </c>
      <c r="E182" s="13">
        <f>+'1.1.mell._ÖNK_Mérleg2019'!E182+'1.2.mell._HKÖH_Mérleg2019'!E182+'1.3.mell._HVÓBKI_Mérleg2019'!E182+'1.4.mell._HKK_Mérleg2019'!E182+'1.5._mell._MŐSZ_Mérleg2019'!E182+'1.6._mell._HVGYKCSSZ_Mérleg2019'!E182</f>
        <v>0</v>
      </c>
      <c r="F182" s="16">
        <f>+'1.1.mell._ÖNK_Mérleg2019'!F182+'1.2.mell._HKÖH_Mérleg2019'!F182+'1.3.mell._HVÓBKI_Mérleg2019'!F182+'1.4.mell._HKK_Mérleg2019'!F182+'1.5._mell._MŐSZ_Mérleg2019'!F182+'1.6._mell._HVGYKCSSZ_Mérleg2019'!F182</f>
        <v>0</v>
      </c>
      <c r="H182" s="14">
        <f t="shared" si="11"/>
        <v>0</v>
      </c>
    </row>
    <row r="183" spans="1:8" s="14" customFormat="1">
      <c r="A183" s="102" t="s">
        <v>208</v>
      </c>
      <c r="B183" s="82" t="s">
        <v>173</v>
      </c>
      <c r="C183" s="24">
        <f t="shared" si="14"/>
        <v>26671</v>
      </c>
      <c r="D183" s="20">
        <f>+'1.1.mell._ÖNK_Mérleg2019'!D183+'1.2.mell._HKÖH_Mérleg2019'!D183+'1.3.mell._HVÓBKI_Mérleg2019'!D183+'1.4.mell._HKK_Mérleg2019'!D183+'1.5._mell._MŐSZ_Mérleg2019'!D183+'1.6._mell._HVGYKCSSZ_Mérleg2019'!D183</f>
        <v>26671</v>
      </c>
      <c r="E183" s="13">
        <f>+'1.1.mell._ÖNK_Mérleg2019'!E183+'1.2.mell._HKÖH_Mérleg2019'!E183+'1.3.mell._HVÓBKI_Mérleg2019'!E183+'1.4.mell._HKK_Mérleg2019'!E183+'1.5._mell._MŐSZ_Mérleg2019'!E183+'1.6._mell._HVGYKCSSZ_Mérleg2019'!E183</f>
        <v>0</v>
      </c>
      <c r="F183" s="16">
        <f>+'1.1.mell._ÖNK_Mérleg2019'!F183+'1.2.mell._HKÖH_Mérleg2019'!F183+'1.3.mell._HVÓBKI_Mérleg2019'!F183+'1.4.mell._HKK_Mérleg2019'!F183+'1.5._mell._MŐSZ_Mérleg2019'!F183+'1.6._mell._HVGYKCSSZ_Mérleg2019'!F183</f>
        <v>0</v>
      </c>
      <c r="H183" s="14">
        <f t="shared" si="11"/>
        <v>0</v>
      </c>
    </row>
    <row r="184" spans="1:8" s="14" customFormat="1">
      <c r="A184" s="121" t="s">
        <v>209</v>
      </c>
      <c r="B184" s="122" t="s">
        <v>174</v>
      </c>
      <c r="C184" s="123"/>
      <c r="D184" s="124"/>
      <c r="E184" s="125"/>
      <c r="F184" s="126"/>
      <c r="H184" s="140">
        <f t="shared" si="11"/>
        <v>0</v>
      </c>
    </row>
    <row r="185" spans="1:8" s="14" customFormat="1">
      <c r="A185" s="102" t="s">
        <v>210</v>
      </c>
      <c r="B185" s="82" t="s">
        <v>179</v>
      </c>
      <c r="C185" s="24">
        <f t="shared" si="14"/>
        <v>0</v>
      </c>
      <c r="D185" s="20">
        <f>+'1.1.mell._ÖNK_Mérleg2019'!D185+'1.2.mell._HKÖH_Mérleg2019'!D185+'1.3.mell._HVÓBKI_Mérleg2019'!D185+'1.4.mell._HKK_Mérleg2019'!D185+'1.5._mell._MŐSZ_Mérleg2019'!D185+'1.6._mell._HVGYKCSSZ_Mérleg2019'!D185</f>
        <v>0</v>
      </c>
      <c r="E185" s="13">
        <f>+'1.1.mell._ÖNK_Mérleg2019'!E185+'1.2.mell._HKÖH_Mérleg2019'!E185+'1.3.mell._HVÓBKI_Mérleg2019'!E185+'1.4.mell._HKK_Mérleg2019'!E185+'1.5._mell._MŐSZ_Mérleg2019'!E185+'1.6._mell._HVGYKCSSZ_Mérleg2019'!E185</f>
        <v>0</v>
      </c>
      <c r="F185" s="16">
        <f>+'1.1.mell._ÖNK_Mérleg2019'!F185+'1.2.mell._HKÖH_Mérleg2019'!F185+'1.3.mell._HVÓBKI_Mérleg2019'!F185+'1.4.mell._HKK_Mérleg2019'!F185+'1.5._mell._MŐSZ_Mérleg2019'!F185+'1.6._mell._HVGYKCSSZ_Mérleg2019'!F185</f>
        <v>0</v>
      </c>
      <c r="H185" s="14">
        <f t="shared" si="11"/>
        <v>0</v>
      </c>
    </row>
    <row r="186" spans="1:8" s="14" customFormat="1">
      <c r="A186" s="102" t="s">
        <v>211</v>
      </c>
      <c r="B186" s="82" t="s">
        <v>175</v>
      </c>
      <c r="C186" s="24">
        <f t="shared" si="14"/>
        <v>0</v>
      </c>
      <c r="D186" s="20">
        <f>+'1.1.mell._ÖNK_Mérleg2019'!D186+'1.2.mell._HKÖH_Mérleg2019'!D186+'1.3.mell._HVÓBKI_Mérleg2019'!D186+'1.4.mell._HKK_Mérleg2019'!D186+'1.5._mell._MŐSZ_Mérleg2019'!D186+'1.6._mell._HVGYKCSSZ_Mérleg2019'!D186</f>
        <v>0</v>
      </c>
      <c r="E186" s="13">
        <f>+'1.1.mell._ÖNK_Mérleg2019'!E186+'1.2.mell._HKÖH_Mérleg2019'!E186+'1.3.mell._HVÓBKI_Mérleg2019'!E186+'1.4.mell._HKK_Mérleg2019'!E186+'1.5._mell._MŐSZ_Mérleg2019'!E186+'1.6._mell._HVGYKCSSZ_Mérleg2019'!E186</f>
        <v>0</v>
      </c>
      <c r="F186" s="16">
        <f>+'1.1.mell._ÖNK_Mérleg2019'!F186+'1.2.mell._HKÖH_Mérleg2019'!F186+'1.3.mell._HVÓBKI_Mérleg2019'!F186+'1.4.mell._HKK_Mérleg2019'!F186+'1.5._mell._MŐSZ_Mérleg2019'!F186+'1.6._mell._HVGYKCSSZ_Mérleg2019'!F186</f>
        <v>0</v>
      </c>
      <c r="H186" s="14">
        <f t="shared" si="11"/>
        <v>0</v>
      </c>
    </row>
    <row r="187" spans="1:8" s="14" customFormat="1">
      <c r="A187" s="102" t="s">
        <v>212</v>
      </c>
      <c r="B187" s="82" t="s">
        <v>176</v>
      </c>
      <c r="C187" s="24">
        <f t="shared" si="14"/>
        <v>0</v>
      </c>
      <c r="D187" s="20">
        <f>+'1.1.mell._ÖNK_Mérleg2019'!D187+'1.2.mell._HKÖH_Mérleg2019'!D187+'1.3.mell._HVÓBKI_Mérleg2019'!D187+'1.4.mell._HKK_Mérleg2019'!D187+'1.5._mell._MŐSZ_Mérleg2019'!D187+'1.6._mell._HVGYKCSSZ_Mérleg2019'!D187</f>
        <v>0</v>
      </c>
      <c r="E187" s="13">
        <f>+'1.1.mell._ÖNK_Mérleg2019'!E187+'1.2.mell._HKÖH_Mérleg2019'!E187+'1.3.mell._HVÓBKI_Mérleg2019'!E187+'1.4.mell._HKK_Mérleg2019'!E187+'1.5._mell._MŐSZ_Mérleg2019'!E187+'1.6._mell._HVGYKCSSZ_Mérleg2019'!E187</f>
        <v>0</v>
      </c>
      <c r="F187" s="16">
        <f>+'1.1.mell._ÖNK_Mérleg2019'!F187+'1.2.mell._HKÖH_Mérleg2019'!F187+'1.3.mell._HVÓBKI_Mérleg2019'!F187+'1.4.mell._HKK_Mérleg2019'!F187+'1.5._mell._MŐSZ_Mérleg2019'!F187+'1.6._mell._HVGYKCSSZ_Mérleg2019'!F187</f>
        <v>0</v>
      </c>
      <c r="H187" s="14">
        <f t="shared" si="11"/>
        <v>0</v>
      </c>
    </row>
    <row r="188" spans="1:8" s="14" customFormat="1">
      <c r="A188" s="102" t="s">
        <v>945</v>
      </c>
      <c r="B188" s="82" t="s">
        <v>947</v>
      </c>
      <c r="C188" s="24">
        <f>+D188+E188+F188</f>
        <v>0</v>
      </c>
      <c r="D188" s="20">
        <f>+'1.1.mell._ÖNK_Mérleg2019'!D188+'1.2.mell._HKÖH_Mérleg2019'!D188+'1.3.mell._HVÓBKI_Mérleg2019'!D188+'1.4.mell._HKK_Mérleg2019'!D188+'1.5._mell._MŐSZ_Mérleg2019'!D188+'1.6._mell._HVGYKCSSZ_Mérleg2019'!D188</f>
        <v>0</v>
      </c>
      <c r="E188" s="13">
        <f>+'1.1.mell._ÖNK_Mérleg2019'!E188+'1.2.mell._HKÖH_Mérleg2019'!E188+'1.3.mell._HVÓBKI_Mérleg2019'!E188+'1.4.mell._HKK_Mérleg2019'!E188+'1.5._mell._MŐSZ_Mérleg2019'!E188+'1.6._mell._HVGYKCSSZ_Mérleg2019'!E188</f>
        <v>0</v>
      </c>
      <c r="F188" s="16">
        <f>+'1.1.mell._ÖNK_Mérleg2019'!F188+'1.2.mell._HKÖH_Mérleg2019'!F188+'1.3.mell._HVÓBKI_Mérleg2019'!F188+'1.4.mell._HKK_Mérleg2019'!F188+'1.5._mell._MŐSZ_Mérleg2019'!F188+'1.6._mell._HVGYKCSSZ_Mérleg2019'!F188</f>
        <v>0</v>
      </c>
      <c r="H188" s="14">
        <f t="shared" si="11"/>
        <v>0</v>
      </c>
    </row>
    <row r="189" spans="1:8">
      <c r="A189" s="101" t="s">
        <v>76</v>
      </c>
      <c r="B189" s="83" t="s">
        <v>177</v>
      </c>
      <c r="C189" s="23">
        <f t="shared" si="14"/>
        <v>0</v>
      </c>
      <c r="D189" s="21">
        <f>+'1.1.mell._ÖNK_Mérleg2019'!D189+'1.2.mell._HKÖH_Mérleg2019'!D189+'1.3.mell._HVÓBKI_Mérleg2019'!D189+'1.4.mell._HKK_Mérleg2019'!D189+'1.5._mell._MŐSZ_Mérleg2019'!D189+'1.6._mell._HVGYKCSSZ_Mérleg2019'!D189</f>
        <v>0</v>
      </c>
      <c r="E189" s="12">
        <f>+'1.1.mell._ÖNK_Mérleg2019'!E189+'1.2.mell._HKÖH_Mérleg2019'!E189+'1.3.mell._HVÓBKI_Mérleg2019'!E189+'1.4.mell._HKK_Mérleg2019'!E189+'1.5._mell._MŐSZ_Mérleg2019'!E189+'1.6._mell._HVGYKCSSZ_Mérleg2019'!E189</f>
        <v>0</v>
      </c>
      <c r="F189" s="17">
        <f>+'1.1.mell._ÖNK_Mérleg2019'!F189+'1.2.mell._HKÖH_Mérleg2019'!F189+'1.3.mell._HVÓBKI_Mérleg2019'!F189+'1.4.mell._HKK_Mérleg2019'!F189+'1.5._mell._MŐSZ_Mérleg2019'!F189+'1.6._mell._HVGYKCSSZ_Mérleg2019'!F189</f>
        <v>0</v>
      </c>
      <c r="H189" s="4">
        <f t="shared" si="11"/>
        <v>0</v>
      </c>
    </row>
    <row r="190" spans="1:8">
      <c r="A190" s="94" t="s">
        <v>77</v>
      </c>
      <c r="B190" s="84" t="s">
        <v>178</v>
      </c>
      <c r="C190" s="26">
        <f t="shared" si="14"/>
        <v>0</v>
      </c>
      <c r="D190" s="27">
        <f>+'1.1.mell._ÖNK_Mérleg2019'!D190+'1.2.mell._HKÖH_Mérleg2019'!D190+'1.3.mell._HVÓBKI_Mérleg2019'!D190+'1.4.mell._HKK_Mérleg2019'!D190+'1.5._mell._MŐSZ_Mérleg2019'!D190+'1.6._mell._HVGYKCSSZ_Mérleg2019'!D190</f>
        <v>0</v>
      </c>
      <c r="E190" s="28">
        <f>+'1.1.mell._ÖNK_Mérleg2019'!E190+'1.2.mell._HKÖH_Mérleg2019'!E190+'1.3.mell._HVÓBKI_Mérleg2019'!E190+'1.4.mell._HKK_Mérleg2019'!E190+'1.5._mell._MŐSZ_Mérleg2019'!E190+'1.6._mell._HVGYKCSSZ_Mérleg2019'!E190</f>
        <v>0</v>
      </c>
      <c r="F190" s="29">
        <f>+'1.1.mell._ÖNK_Mérleg2019'!F190+'1.2.mell._HKÖH_Mérleg2019'!F190+'1.3.mell._HVÓBKI_Mérleg2019'!F190+'1.4.mell._HKK_Mérleg2019'!F190+'1.5._mell._MŐSZ_Mérleg2019'!F190+'1.6._mell._HVGYKCSSZ_Mérleg2019'!F190</f>
        <v>0</v>
      </c>
      <c r="H190" s="4">
        <f t="shared" si="11"/>
        <v>0</v>
      </c>
    </row>
    <row r="191" spans="1:8" ht="12.75" thickBot="1">
      <c r="A191" s="94" t="s">
        <v>950</v>
      </c>
      <c r="B191" s="84" t="s">
        <v>948</v>
      </c>
      <c r="C191" s="26">
        <f>+D191+E191+F191</f>
        <v>0</v>
      </c>
      <c r="D191" s="27">
        <f>+'1.1.mell._ÖNK_Mérleg2019'!D191+'1.2.mell._HKÖH_Mérleg2019'!D191+'1.3.mell._HVÓBKI_Mérleg2019'!D191+'1.4.mell._HKK_Mérleg2019'!D191+'1.5._mell._MŐSZ_Mérleg2019'!D191+'1.6._mell._HVGYKCSSZ_Mérleg2019'!D191</f>
        <v>0</v>
      </c>
      <c r="E191" s="28">
        <f>+'1.1.mell._ÖNK_Mérleg2019'!E191+'1.2.mell._HKÖH_Mérleg2019'!E191+'1.3.mell._HVÓBKI_Mérleg2019'!E191+'1.4.mell._HKK_Mérleg2019'!E191+'1.5._mell._MŐSZ_Mérleg2019'!E191+'1.6._mell._HVGYKCSSZ_Mérleg2019'!E191</f>
        <v>0</v>
      </c>
      <c r="F191" s="29">
        <f>+'1.1.mell._ÖNK_Mérleg2019'!F191+'1.2.mell._HKÖH_Mérleg2019'!F191+'1.3.mell._HVÓBKI_Mérleg2019'!F191+'1.4.mell._HKK_Mérleg2019'!F191+'1.5._mell._MŐSZ_Mérleg2019'!F191+'1.6._mell._HVGYKCSSZ_Mérleg2019'!F191</f>
        <v>0</v>
      </c>
      <c r="H191" s="4">
        <f t="shared" si="11"/>
        <v>0</v>
      </c>
    </row>
    <row r="192" spans="1:8" s="3" customFormat="1" ht="12.75" thickBot="1">
      <c r="A192" s="99" t="s">
        <v>44</v>
      </c>
      <c r="B192" s="85" t="s">
        <v>316</v>
      </c>
      <c r="C192" s="44">
        <f>+C193</f>
        <v>0</v>
      </c>
      <c r="D192" s="33">
        <f>+D193</f>
        <v>0</v>
      </c>
      <c r="E192" s="34">
        <f>+E193</f>
        <v>0</v>
      </c>
      <c r="F192" s="35">
        <f>+F193</f>
        <v>0</v>
      </c>
      <c r="G192" s="741">
        <f>+C192/$C$208</f>
        <v>0</v>
      </c>
      <c r="H192" s="3">
        <f t="shared" si="11"/>
        <v>0</v>
      </c>
    </row>
    <row r="193" spans="1:8" s="3" customFormat="1" ht="12.75" thickBot="1">
      <c r="A193" s="99" t="s">
        <v>43</v>
      </c>
      <c r="B193" s="80" t="s">
        <v>946</v>
      </c>
      <c r="C193" s="44">
        <f>+C194+C204+C205+C206</f>
        <v>0</v>
      </c>
      <c r="D193" s="33">
        <f>+D194+D204+D205+D206</f>
        <v>0</v>
      </c>
      <c r="E193" s="34">
        <f>+E194+E204+E205+E206</f>
        <v>0</v>
      </c>
      <c r="F193" s="35">
        <f>+F194+F204+F205+F206</f>
        <v>0</v>
      </c>
      <c r="G193" s="741">
        <f>+C193/$C$208</f>
        <v>0</v>
      </c>
      <c r="H193" s="3">
        <f t="shared" si="11"/>
        <v>0</v>
      </c>
    </row>
    <row r="194" spans="1:8">
      <c r="A194" s="100" t="s">
        <v>78</v>
      </c>
      <c r="B194" s="81" t="s">
        <v>984</v>
      </c>
      <c r="C194" s="36">
        <f>+C195+C196+C197+C198+C199+C200+C201+C202+C203</f>
        <v>0</v>
      </c>
      <c r="D194" s="41">
        <f>+D195+D196+D197+D198+D199+D200+D201+D202+D203</f>
        <v>0</v>
      </c>
      <c r="E194" s="11">
        <f>+E195+E196+E197+E198+E199+E200+E201+E202+E203</f>
        <v>0</v>
      </c>
      <c r="F194" s="42">
        <f>+F195+F196+F197+F198+F199+F200+F201+F202+F203</f>
        <v>0</v>
      </c>
      <c r="H194" s="4">
        <f t="shared" si="11"/>
        <v>0</v>
      </c>
    </row>
    <row r="195" spans="1:8" s="14" customFormat="1">
      <c r="A195" s="102" t="s">
        <v>213</v>
      </c>
      <c r="B195" s="82" t="s">
        <v>170</v>
      </c>
      <c r="C195" s="24">
        <f t="shared" ref="C195:C205" si="15">+D195+E195+F195</f>
        <v>0</v>
      </c>
      <c r="D195" s="20">
        <f>+'1.1.mell._ÖNK_Mérleg2019'!D195+'1.2.mell._HKÖH_Mérleg2019'!D195+'1.3.mell._HVÓBKI_Mérleg2019'!D195+'1.4.mell._HKK_Mérleg2019'!D195+'1.5._mell._MŐSZ_Mérleg2019'!D195+'1.6._mell._HVGYKCSSZ_Mérleg2019'!D195</f>
        <v>0</v>
      </c>
      <c r="E195" s="13">
        <f>+'1.1.mell._ÖNK_Mérleg2019'!E195+'1.2.mell._HKÖH_Mérleg2019'!E195+'1.3.mell._HVÓBKI_Mérleg2019'!E195+'1.4.mell._HKK_Mérleg2019'!E195+'1.5._mell._MŐSZ_Mérleg2019'!E195+'1.6._mell._HVGYKCSSZ_Mérleg2019'!E195</f>
        <v>0</v>
      </c>
      <c r="F195" s="16">
        <f>+'1.1.mell._ÖNK_Mérleg2019'!F195+'1.2.mell._HKÖH_Mérleg2019'!F195+'1.3.mell._HVÓBKI_Mérleg2019'!F195+'1.4.mell._HKK_Mérleg2019'!F195+'1.5._mell._MŐSZ_Mérleg2019'!F195+'1.6._mell._HVGYKCSSZ_Mérleg2019'!F195</f>
        <v>0</v>
      </c>
      <c r="H195" s="14">
        <f t="shared" si="11"/>
        <v>0</v>
      </c>
    </row>
    <row r="196" spans="1:8" s="14" customFormat="1">
      <c r="A196" s="102" t="s">
        <v>214</v>
      </c>
      <c r="B196" s="82" t="s">
        <v>171</v>
      </c>
      <c r="C196" s="24">
        <f t="shared" si="15"/>
        <v>0</v>
      </c>
      <c r="D196" s="20">
        <f>+'1.1.mell._ÖNK_Mérleg2019'!D196+'1.2.mell._HKÖH_Mérleg2019'!D196+'1.3.mell._HVÓBKI_Mérleg2019'!D196+'1.4.mell._HKK_Mérleg2019'!D196+'1.5._mell._MŐSZ_Mérleg2019'!D196+'1.6._mell._HVGYKCSSZ_Mérleg2019'!D196</f>
        <v>0</v>
      </c>
      <c r="E196" s="13">
        <f>+'1.1.mell._ÖNK_Mérleg2019'!E196+'1.2.mell._HKÖH_Mérleg2019'!E196+'1.3.mell._HVÓBKI_Mérleg2019'!E196+'1.4.mell._HKK_Mérleg2019'!E196+'1.5._mell._MŐSZ_Mérleg2019'!E196+'1.6._mell._HVGYKCSSZ_Mérleg2019'!E196</f>
        <v>0</v>
      </c>
      <c r="F196" s="16">
        <f>+'1.1.mell._ÖNK_Mérleg2019'!F196+'1.2.mell._HKÖH_Mérleg2019'!F196+'1.3.mell._HVÓBKI_Mérleg2019'!F196+'1.4.mell._HKK_Mérleg2019'!F196+'1.5._mell._MŐSZ_Mérleg2019'!F196+'1.6._mell._HVGYKCSSZ_Mérleg2019'!F196</f>
        <v>0</v>
      </c>
      <c r="H196" s="14">
        <f t="shared" si="11"/>
        <v>0</v>
      </c>
    </row>
    <row r="197" spans="1:8" s="14" customFormat="1">
      <c r="A197" s="102" t="s">
        <v>215</v>
      </c>
      <c r="B197" s="82" t="s">
        <v>172</v>
      </c>
      <c r="C197" s="24">
        <f t="shared" si="15"/>
        <v>0</v>
      </c>
      <c r="D197" s="20">
        <f>+'1.1.mell._ÖNK_Mérleg2019'!D197+'1.2.mell._HKÖH_Mérleg2019'!D197+'1.3.mell._HVÓBKI_Mérleg2019'!D197+'1.4.mell._HKK_Mérleg2019'!D197+'1.5._mell._MŐSZ_Mérleg2019'!D197+'1.6._mell._HVGYKCSSZ_Mérleg2019'!D197</f>
        <v>0</v>
      </c>
      <c r="E197" s="13">
        <f>+'1.1.mell._ÖNK_Mérleg2019'!E197+'1.2.mell._HKÖH_Mérleg2019'!E197+'1.3.mell._HVÓBKI_Mérleg2019'!E197+'1.4.mell._HKK_Mérleg2019'!E197+'1.5._mell._MŐSZ_Mérleg2019'!E197+'1.6._mell._HVGYKCSSZ_Mérleg2019'!E197</f>
        <v>0</v>
      </c>
      <c r="F197" s="16">
        <f>+'1.1.mell._ÖNK_Mérleg2019'!F197+'1.2.mell._HKÖH_Mérleg2019'!F197+'1.3.mell._HVÓBKI_Mérleg2019'!F197+'1.4.mell._HKK_Mérleg2019'!F197+'1.5._mell._MŐSZ_Mérleg2019'!F197+'1.6._mell._HVGYKCSSZ_Mérleg2019'!F197</f>
        <v>0</v>
      </c>
      <c r="H197" s="14">
        <f t="shared" si="11"/>
        <v>0</v>
      </c>
    </row>
    <row r="198" spans="1:8" s="14" customFormat="1">
      <c r="A198" s="102" t="s">
        <v>216</v>
      </c>
      <c r="B198" s="82" t="s">
        <v>173</v>
      </c>
      <c r="C198" s="24">
        <f t="shared" si="15"/>
        <v>0</v>
      </c>
      <c r="D198" s="20">
        <f>+'1.1.mell._ÖNK_Mérleg2019'!D198+'1.2.mell._HKÖH_Mérleg2019'!D198+'1.3.mell._HVÓBKI_Mérleg2019'!D198+'1.4.mell._HKK_Mérleg2019'!D198+'1.5._mell._MŐSZ_Mérleg2019'!D198+'1.6._mell._HVGYKCSSZ_Mérleg2019'!D198</f>
        <v>0</v>
      </c>
      <c r="E198" s="13">
        <f>+'1.1.mell._ÖNK_Mérleg2019'!E198+'1.2.mell._HKÖH_Mérleg2019'!E198+'1.3.mell._HVÓBKI_Mérleg2019'!E198+'1.4.mell._HKK_Mérleg2019'!E198+'1.5._mell._MŐSZ_Mérleg2019'!E198+'1.6._mell._HVGYKCSSZ_Mérleg2019'!E198</f>
        <v>0</v>
      </c>
      <c r="F198" s="16">
        <f>+'1.1.mell._ÖNK_Mérleg2019'!F198+'1.2.mell._HKÖH_Mérleg2019'!F198+'1.3.mell._HVÓBKI_Mérleg2019'!F198+'1.4.mell._HKK_Mérleg2019'!F198+'1.5._mell._MŐSZ_Mérleg2019'!F198+'1.6._mell._HVGYKCSSZ_Mérleg2019'!F198</f>
        <v>0</v>
      </c>
      <c r="H198" s="14">
        <f t="shared" si="11"/>
        <v>0</v>
      </c>
    </row>
    <row r="199" spans="1:8" s="14" customFormat="1">
      <c r="A199" s="121" t="s">
        <v>217</v>
      </c>
      <c r="B199" s="122" t="s">
        <v>174</v>
      </c>
      <c r="C199" s="123"/>
      <c r="D199" s="124"/>
      <c r="E199" s="125"/>
      <c r="F199" s="126"/>
      <c r="H199" s="140">
        <f t="shared" si="11"/>
        <v>0</v>
      </c>
    </row>
    <row r="200" spans="1:8" s="14" customFormat="1">
      <c r="A200" s="102" t="s">
        <v>218</v>
      </c>
      <c r="B200" s="82" t="s">
        <v>179</v>
      </c>
      <c r="C200" s="24">
        <f t="shared" si="15"/>
        <v>0</v>
      </c>
      <c r="D200" s="20">
        <f>+'1.1.mell._ÖNK_Mérleg2019'!D200+'1.2.mell._HKÖH_Mérleg2019'!D200+'1.3.mell._HVÓBKI_Mérleg2019'!D200+'1.4.mell._HKK_Mérleg2019'!D200+'1.5._mell._MŐSZ_Mérleg2019'!D200+'1.6._mell._HVGYKCSSZ_Mérleg2019'!D200</f>
        <v>0</v>
      </c>
      <c r="E200" s="13">
        <f>+'1.1.mell._ÖNK_Mérleg2019'!E200+'1.2.mell._HKÖH_Mérleg2019'!E200+'1.3.mell._HVÓBKI_Mérleg2019'!E200+'1.4.mell._HKK_Mérleg2019'!E200+'1.5._mell._MŐSZ_Mérleg2019'!E200+'1.6._mell._HVGYKCSSZ_Mérleg2019'!E200</f>
        <v>0</v>
      </c>
      <c r="F200" s="16">
        <f>+'1.1.mell._ÖNK_Mérleg2019'!F200+'1.2.mell._HKÖH_Mérleg2019'!F200+'1.3.mell._HVÓBKI_Mérleg2019'!F200+'1.4.mell._HKK_Mérleg2019'!F200+'1.5._mell._MŐSZ_Mérleg2019'!F200+'1.6._mell._HVGYKCSSZ_Mérleg2019'!F200</f>
        <v>0</v>
      </c>
      <c r="H200" s="14">
        <f t="shared" si="11"/>
        <v>0</v>
      </c>
    </row>
    <row r="201" spans="1:8" s="14" customFormat="1">
      <c r="A201" s="102" t="s">
        <v>219</v>
      </c>
      <c r="B201" s="82" t="s">
        <v>175</v>
      </c>
      <c r="C201" s="24">
        <f t="shared" si="15"/>
        <v>0</v>
      </c>
      <c r="D201" s="20">
        <f>+'1.1.mell._ÖNK_Mérleg2019'!D201+'1.2.mell._HKÖH_Mérleg2019'!D201+'1.3.mell._HVÓBKI_Mérleg2019'!D201+'1.4.mell._HKK_Mérleg2019'!D201+'1.5._mell._MŐSZ_Mérleg2019'!D201+'1.6._mell._HVGYKCSSZ_Mérleg2019'!D201</f>
        <v>0</v>
      </c>
      <c r="E201" s="13">
        <f>+'1.1.mell._ÖNK_Mérleg2019'!E201+'1.2.mell._HKÖH_Mérleg2019'!E201+'1.3.mell._HVÓBKI_Mérleg2019'!E201+'1.4.mell._HKK_Mérleg2019'!E201+'1.5._mell._MŐSZ_Mérleg2019'!E201+'1.6._mell._HVGYKCSSZ_Mérleg2019'!E201</f>
        <v>0</v>
      </c>
      <c r="F201" s="16">
        <f>+'1.1.mell._ÖNK_Mérleg2019'!F201+'1.2.mell._HKÖH_Mérleg2019'!F201+'1.3.mell._HVÓBKI_Mérleg2019'!F201+'1.4.mell._HKK_Mérleg2019'!F201+'1.5._mell._MŐSZ_Mérleg2019'!F201+'1.6._mell._HVGYKCSSZ_Mérleg2019'!F201</f>
        <v>0</v>
      </c>
      <c r="H201" s="14">
        <f t="shared" si="11"/>
        <v>0</v>
      </c>
    </row>
    <row r="202" spans="1:8" s="14" customFormat="1">
      <c r="A202" s="102" t="s">
        <v>220</v>
      </c>
      <c r="B202" s="82" t="s">
        <v>176</v>
      </c>
      <c r="C202" s="24">
        <f t="shared" si="15"/>
        <v>0</v>
      </c>
      <c r="D202" s="20">
        <f>+'1.1.mell._ÖNK_Mérleg2019'!D202+'1.2.mell._HKÖH_Mérleg2019'!D202+'1.3.mell._HVÓBKI_Mérleg2019'!D202+'1.4.mell._HKK_Mérleg2019'!D202+'1.5._mell._MŐSZ_Mérleg2019'!D202+'1.6._mell._HVGYKCSSZ_Mérleg2019'!D202</f>
        <v>0</v>
      </c>
      <c r="E202" s="13">
        <f>+'1.1.mell._ÖNK_Mérleg2019'!E202+'1.2.mell._HKÖH_Mérleg2019'!E202+'1.3.mell._HVÓBKI_Mérleg2019'!E202+'1.4.mell._HKK_Mérleg2019'!E202+'1.5._mell._MŐSZ_Mérleg2019'!E202+'1.6._mell._HVGYKCSSZ_Mérleg2019'!E202</f>
        <v>0</v>
      </c>
      <c r="F202" s="16">
        <f>+'1.1.mell._ÖNK_Mérleg2019'!F202+'1.2.mell._HKÖH_Mérleg2019'!F202+'1.3.mell._HVÓBKI_Mérleg2019'!F202+'1.4.mell._HKK_Mérleg2019'!F202+'1.5._mell._MŐSZ_Mérleg2019'!F202+'1.6._mell._HVGYKCSSZ_Mérleg2019'!F202</f>
        <v>0</v>
      </c>
      <c r="H202" s="14">
        <f t="shared" si="11"/>
        <v>0</v>
      </c>
    </row>
    <row r="203" spans="1:8" s="14" customFormat="1">
      <c r="A203" s="102" t="s">
        <v>945</v>
      </c>
      <c r="B203" s="82" t="s">
        <v>947</v>
      </c>
      <c r="C203" s="24">
        <f>+D203+E203+F203</f>
        <v>0</v>
      </c>
      <c r="D203" s="20">
        <f>+'1.1.mell._ÖNK_Mérleg2019'!D203+'1.2.mell._HKÖH_Mérleg2019'!D203+'1.3.mell._HVÓBKI_Mérleg2019'!D203+'1.4.mell._HKK_Mérleg2019'!D203+'1.5._mell._MŐSZ_Mérleg2019'!D203+'1.6._mell._HVGYKCSSZ_Mérleg2019'!D203</f>
        <v>0</v>
      </c>
      <c r="E203" s="13">
        <f>+'1.1.mell._ÖNK_Mérleg2019'!E203+'1.2.mell._HKÖH_Mérleg2019'!E203+'1.3.mell._HVÓBKI_Mérleg2019'!E203+'1.4.mell._HKK_Mérleg2019'!E203+'1.5._mell._MŐSZ_Mérleg2019'!E203+'1.6._mell._HVGYKCSSZ_Mérleg2019'!E203</f>
        <v>0</v>
      </c>
      <c r="F203" s="16">
        <f>+'1.1.mell._ÖNK_Mérleg2019'!F203+'1.2.mell._HKÖH_Mérleg2019'!F203+'1.3.mell._HVÓBKI_Mérleg2019'!F203+'1.4.mell._HKK_Mérleg2019'!F203+'1.5._mell._MŐSZ_Mérleg2019'!F203+'1.6._mell._HVGYKCSSZ_Mérleg2019'!F203</f>
        <v>0</v>
      </c>
      <c r="H203" s="14">
        <f t="shared" ref="H203:H242" si="16">+C203-D203-E203-F203</f>
        <v>0</v>
      </c>
    </row>
    <row r="204" spans="1:8">
      <c r="A204" s="101" t="s">
        <v>79</v>
      </c>
      <c r="B204" s="83" t="s">
        <v>177</v>
      </c>
      <c r="C204" s="23">
        <f t="shared" si="15"/>
        <v>0</v>
      </c>
      <c r="D204" s="21">
        <f>+'1.1.mell._ÖNK_Mérleg2019'!D204+'1.2.mell._HKÖH_Mérleg2019'!D204+'1.3.mell._HVÓBKI_Mérleg2019'!D204+'1.4.mell._HKK_Mérleg2019'!D204+'1.5._mell._MŐSZ_Mérleg2019'!D204+'1.6._mell._HVGYKCSSZ_Mérleg2019'!D204</f>
        <v>0</v>
      </c>
      <c r="E204" s="12">
        <f>+'1.1.mell._ÖNK_Mérleg2019'!E204+'1.2.mell._HKÖH_Mérleg2019'!E204+'1.3.mell._HVÓBKI_Mérleg2019'!E204+'1.4.mell._HKK_Mérleg2019'!E204+'1.5._mell._MŐSZ_Mérleg2019'!E204+'1.6._mell._HVGYKCSSZ_Mérleg2019'!E204</f>
        <v>0</v>
      </c>
      <c r="F204" s="17">
        <f>+'1.1.mell._ÖNK_Mérleg2019'!F204+'1.2.mell._HKÖH_Mérleg2019'!F204+'1.3.mell._HVÓBKI_Mérleg2019'!F204+'1.4.mell._HKK_Mérleg2019'!F204+'1.5._mell._MŐSZ_Mérleg2019'!F204+'1.6._mell._HVGYKCSSZ_Mérleg2019'!F204</f>
        <v>0</v>
      </c>
      <c r="H204" s="4">
        <f t="shared" si="16"/>
        <v>0</v>
      </c>
    </row>
    <row r="205" spans="1:8">
      <c r="A205" s="94" t="s">
        <v>221</v>
      </c>
      <c r="B205" s="84" t="s">
        <v>178</v>
      </c>
      <c r="C205" s="26">
        <f t="shared" si="15"/>
        <v>0</v>
      </c>
      <c r="D205" s="27">
        <f>+'1.1.mell._ÖNK_Mérleg2019'!D205+'1.2.mell._HKÖH_Mérleg2019'!D205+'1.3.mell._HVÓBKI_Mérleg2019'!D205+'1.4.mell._HKK_Mérleg2019'!D205+'1.5._mell._MŐSZ_Mérleg2019'!D205+'1.6._mell._HVGYKCSSZ_Mérleg2019'!D205</f>
        <v>0</v>
      </c>
      <c r="E205" s="28">
        <f>+'1.1.mell._ÖNK_Mérleg2019'!E205+'1.2.mell._HKÖH_Mérleg2019'!E205+'1.3.mell._HVÓBKI_Mérleg2019'!E205+'1.4.mell._HKK_Mérleg2019'!E205+'1.5._mell._MŐSZ_Mérleg2019'!E205+'1.6._mell._HVGYKCSSZ_Mérleg2019'!E205</f>
        <v>0</v>
      </c>
      <c r="F205" s="29">
        <f>+'1.1.mell._ÖNK_Mérleg2019'!F205+'1.2.mell._HKÖH_Mérleg2019'!F205+'1.3.mell._HVÓBKI_Mérleg2019'!F205+'1.4.mell._HKK_Mérleg2019'!F205+'1.5._mell._MŐSZ_Mérleg2019'!F205+'1.6._mell._HVGYKCSSZ_Mérleg2019'!F205</f>
        <v>0</v>
      </c>
      <c r="H205" s="4">
        <f t="shared" si="16"/>
        <v>0</v>
      </c>
    </row>
    <row r="206" spans="1:8" ht="12.75" thickBot="1">
      <c r="A206" s="94" t="s">
        <v>949</v>
      </c>
      <c r="B206" s="84" t="s">
        <v>948</v>
      </c>
      <c r="C206" s="26">
        <f>+D206+E206+F206</f>
        <v>0</v>
      </c>
      <c r="D206" s="27">
        <f>+'1.1.mell._ÖNK_Mérleg2019'!D206+'1.2.mell._HKÖH_Mérleg2019'!D206+'1.3.mell._HVÓBKI_Mérleg2019'!D206+'1.4.mell._HKK_Mérleg2019'!D206+'1.5._mell._MŐSZ_Mérleg2019'!D206+'1.6._mell._HVGYKCSSZ_Mérleg2019'!D206</f>
        <v>0</v>
      </c>
      <c r="E206" s="28">
        <f>+'1.1.mell._ÖNK_Mérleg2019'!E206+'1.2.mell._HKÖH_Mérleg2019'!E206+'1.3.mell._HVÓBKI_Mérleg2019'!E206+'1.4.mell._HKK_Mérleg2019'!E206+'1.5._mell._MŐSZ_Mérleg2019'!E206+'1.6._mell._HVGYKCSSZ_Mérleg2019'!E206</f>
        <v>0</v>
      </c>
      <c r="F206" s="29">
        <f>+'1.1.mell._ÖNK_Mérleg2019'!F206+'1.2.mell._HKÖH_Mérleg2019'!F206+'1.3.mell._HVÓBKI_Mérleg2019'!F206+'1.4.mell._HKK_Mérleg2019'!F206+'1.5._mell._MŐSZ_Mérleg2019'!F206+'1.6._mell._HVGYKCSSZ_Mérleg2019'!F206</f>
        <v>0</v>
      </c>
      <c r="H206" s="4">
        <f t="shared" si="16"/>
        <v>0</v>
      </c>
    </row>
    <row r="207" spans="1:8" s="3" customFormat="1" ht="12.75" thickBot="1">
      <c r="A207" s="99" t="s">
        <v>40</v>
      </c>
      <c r="B207" s="85" t="s">
        <v>317</v>
      </c>
      <c r="C207" s="44">
        <f>+C177+C192</f>
        <v>26671</v>
      </c>
      <c r="D207" s="33">
        <f>+D177+D192</f>
        <v>26671</v>
      </c>
      <c r="E207" s="34">
        <f>+E177+E192</f>
        <v>0</v>
      </c>
      <c r="F207" s="35">
        <f>+F177+F192</f>
        <v>0</v>
      </c>
      <c r="G207" s="741">
        <f>+C207/$C$208</f>
        <v>5.7689242062727289E-3</v>
      </c>
      <c r="H207" s="3">
        <f t="shared" si="16"/>
        <v>0</v>
      </c>
    </row>
    <row r="208" spans="1:8" s="3" customFormat="1" ht="12.75" thickBot="1">
      <c r="A208" s="103" t="s">
        <v>39</v>
      </c>
      <c r="B208" s="87" t="s">
        <v>335</v>
      </c>
      <c r="C208" s="45">
        <f>+C176+C207</f>
        <v>4623219</v>
      </c>
      <c r="D208" s="30">
        <f>+D176+D207</f>
        <v>4211133</v>
      </c>
      <c r="E208" s="31">
        <f>+E176+E207</f>
        <v>412086</v>
      </c>
      <c r="F208" s="32">
        <f>+F176+F207</f>
        <v>0</v>
      </c>
      <c r="G208" s="741">
        <f>+C208/$C$208</f>
        <v>1</v>
      </c>
      <c r="H208" s="3">
        <f t="shared" si="16"/>
        <v>0</v>
      </c>
    </row>
    <row r="211" spans="1:27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46" customFormat="1" ht="12.75" thickBot="1">
      <c r="A212" s="48" t="s">
        <v>282</v>
      </c>
      <c r="F212" s="47" t="s">
        <v>281</v>
      </c>
    </row>
    <row r="213" spans="1:27" s="3" customFormat="1" ht="12.75" thickBot="1">
      <c r="A213" s="99" t="s">
        <v>4</v>
      </c>
      <c r="B213" s="85" t="s">
        <v>318</v>
      </c>
      <c r="C213" s="44">
        <f>+C214+C215</f>
        <v>-2722100</v>
      </c>
      <c r="D213" s="33">
        <f>+D214+D215</f>
        <v>-2706174</v>
      </c>
      <c r="E213" s="34">
        <f>+E214+E215</f>
        <v>-15926</v>
      </c>
      <c r="F213" s="35">
        <f>+F214+F215</f>
        <v>0</v>
      </c>
      <c r="H213" s="3">
        <f t="shared" si="16"/>
        <v>0</v>
      </c>
    </row>
    <row r="214" spans="1:27">
      <c r="A214" s="100" t="s">
        <v>81</v>
      </c>
      <c r="B214" s="88" t="s">
        <v>319</v>
      </c>
      <c r="C214" s="36">
        <f>+C10-C109</f>
        <v>-2625375</v>
      </c>
      <c r="D214" s="41">
        <f>+D10-D109</f>
        <v>-2609249</v>
      </c>
      <c r="E214" s="11">
        <f>+E10-E109</f>
        <v>-16126</v>
      </c>
      <c r="F214" s="42">
        <f>+F10-F109</f>
        <v>0</v>
      </c>
      <c r="H214" s="4">
        <f t="shared" si="16"/>
        <v>0</v>
      </c>
    </row>
    <row r="215" spans="1:27" ht="12.75" thickBot="1">
      <c r="A215" s="104" t="s">
        <v>82</v>
      </c>
      <c r="B215" s="89" t="s">
        <v>320</v>
      </c>
      <c r="C215" s="25">
        <f>+C50-C149</f>
        <v>-96725</v>
      </c>
      <c r="D215" s="51">
        <f>+D50-D149</f>
        <v>-96925</v>
      </c>
      <c r="E215" s="18">
        <f>+E50-E149</f>
        <v>200</v>
      </c>
      <c r="F215" s="50">
        <f>+F50-F149</f>
        <v>0</v>
      </c>
      <c r="H215" s="4">
        <f t="shared" si="16"/>
        <v>0</v>
      </c>
    </row>
    <row r="218" spans="1:27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46" customFormat="1" ht="12.75" thickBot="1">
      <c r="A219" s="48" t="s">
        <v>283</v>
      </c>
      <c r="F219" s="47" t="s">
        <v>281</v>
      </c>
    </row>
    <row r="220" spans="1:27" s="3" customFormat="1" ht="12.75" thickBot="1">
      <c r="A220" s="99" t="s">
        <v>4</v>
      </c>
      <c r="B220" s="85" t="s">
        <v>321</v>
      </c>
      <c r="C220" s="44">
        <f>+C221+C228</f>
        <v>2722100</v>
      </c>
      <c r="D220" s="33">
        <f>+D221+D228</f>
        <v>2722100</v>
      </c>
      <c r="E220" s="34">
        <f>+E221+E228</f>
        <v>0</v>
      </c>
      <c r="F220" s="35">
        <f>+F221+F228</f>
        <v>0</v>
      </c>
      <c r="H220" s="3">
        <f t="shared" si="16"/>
        <v>0</v>
      </c>
    </row>
    <row r="221" spans="1:27" s="3" customFormat="1" ht="12.75" thickBot="1">
      <c r="A221" s="99" t="s">
        <v>5</v>
      </c>
      <c r="B221" s="80" t="s">
        <v>322</v>
      </c>
      <c r="C221" s="44">
        <f>+C222-C225</f>
        <v>2712101</v>
      </c>
      <c r="D221" s="33">
        <f>+D222-D225</f>
        <v>2712101</v>
      </c>
      <c r="E221" s="34">
        <f>+E222-E225</f>
        <v>0</v>
      </c>
      <c r="F221" s="35">
        <f>+F222-F225</f>
        <v>0</v>
      </c>
      <c r="H221" s="3">
        <f t="shared" si="16"/>
        <v>0</v>
      </c>
    </row>
    <row r="222" spans="1:27">
      <c r="A222" s="100" t="s">
        <v>54</v>
      </c>
      <c r="B222" s="81" t="s">
        <v>323</v>
      </c>
      <c r="C222" s="36">
        <f>+C223+C224</f>
        <v>2738772</v>
      </c>
      <c r="D222" s="41">
        <f>+D223+D224</f>
        <v>2738772</v>
      </c>
      <c r="E222" s="11">
        <f>+E223+E224</f>
        <v>0</v>
      </c>
      <c r="F222" s="42">
        <f>+F223+F224</f>
        <v>0</v>
      </c>
      <c r="H222" s="4">
        <f t="shared" si="16"/>
        <v>0</v>
      </c>
    </row>
    <row r="223" spans="1:27" s="14" customFormat="1">
      <c r="A223" s="102" t="s">
        <v>190</v>
      </c>
      <c r="B223" s="82" t="s">
        <v>285</v>
      </c>
      <c r="C223" s="24">
        <f>+C76+C80</f>
        <v>2738772</v>
      </c>
      <c r="D223" s="20">
        <f>+D76+D80</f>
        <v>2738772</v>
      </c>
      <c r="E223" s="13">
        <f>+E76+E80</f>
        <v>0</v>
      </c>
      <c r="F223" s="16">
        <f>+F76+F80</f>
        <v>0</v>
      </c>
      <c r="H223" s="14">
        <f t="shared" si="16"/>
        <v>0</v>
      </c>
    </row>
    <row r="224" spans="1:27" s="14" customFormat="1">
      <c r="A224" s="102" t="s">
        <v>191</v>
      </c>
      <c r="B224" s="82" t="s">
        <v>286</v>
      </c>
      <c r="C224" s="24">
        <f>+C74+C75+C77+C78+C79+C81</f>
        <v>0</v>
      </c>
      <c r="D224" s="20">
        <f>+D74+D75+D77+D78+D79+D81</f>
        <v>0</v>
      </c>
      <c r="E224" s="13">
        <f>+E74+E75+E77+E78+E79+E81</f>
        <v>0</v>
      </c>
      <c r="F224" s="16">
        <f>+F74+F75+F77+F78+F79+F81</f>
        <v>0</v>
      </c>
      <c r="H224" s="14">
        <f t="shared" si="16"/>
        <v>0</v>
      </c>
    </row>
    <row r="225" spans="1:27">
      <c r="A225" s="101" t="s">
        <v>55</v>
      </c>
      <c r="B225" s="83" t="s">
        <v>324</v>
      </c>
      <c r="C225" s="23">
        <f>+C227</f>
        <v>26671</v>
      </c>
      <c r="D225" s="21">
        <f>+D227</f>
        <v>26671</v>
      </c>
      <c r="E225" s="12">
        <f>+E227</f>
        <v>0</v>
      </c>
      <c r="F225" s="17">
        <f>+F227</f>
        <v>0</v>
      </c>
      <c r="H225" s="4">
        <f t="shared" si="16"/>
        <v>0</v>
      </c>
    </row>
    <row r="226" spans="1:27" s="14" customFormat="1">
      <c r="A226" s="102" t="s">
        <v>56</v>
      </c>
      <c r="B226" s="82" t="s">
        <v>287</v>
      </c>
      <c r="C226" s="24">
        <f>+C185</f>
        <v>0</v>
      </c>
      <c r="D226" s="20">
        <f>+D185</f>
        <v>0</v>
      </c>
      <c r="E226" s="13">
        <f>+E185</f>
        <v>0</v>
      </c>
      <c r="F226" s="16">
        <f>+F185</f>
        <v>0</v>
      </c>
      <c r="H226" s="14">
        <f t="shared" si="16"/>
        <v>0</v>
      </c>
    </row>
    <row r="227" spans="1:27" s="14" customFormat="1" ht="12.75" thickBot="1">
      <c r="A227" s="105" t="s">
        <v>57</v>
      </c>
      <c r="B227" s="90" t="s">
        <v>288</v>
      </c>
      <c r="C227" s="58">
        <f>+C180+C181+C182+C183+C184+C186+C187</f>
        <v>26671</v>
      </c>
      <c r="D227" s="56">
        <f>+D180+D181+D182+D183+D184+D186+D187</f>
        <v>26671</v>
      </c>
      <c r="E227" s="54">
        <f>+E180+E181+E182+E183+E184+E186+E187</f>
        <v>0</v>
      </c>
      <c r="F227" s="55">
        <f>+F180+F181+F182+F183+F184+F186+F187</f>
        <v>0</v>
      </c>
      <c r="H227" s="14">
        <f t="shared" si="16"/>
        <v>0</v>
      </c>
    </row>
    <row r="228" spans="1:27" s="3" customFormat="1" ht="12.75" thickBot="1">
      <c r="A228" s="99" t="s">
        <v>6</v>
      </c>
      <c r="B228" s="80" t="s">
        <v>325</v>
      </c>
      <c r="C228" s="44">
        <f>+C229-C232</f>
        <v>9999</v>
      </c>
      <c r="D228" s="33">
        <f>+D229-D232</f>
        <v>9999</v>
      </c>
      <c r="E228" s="34">
        <f>+E229-E232</f>
        <v>0</v>
      </c>
      <c r="F228" s="35">
        <f>+F229-F232</f>
        <v>0</v>
      </c>
      <c r="H228" s="3">
        <f t="shared" si="16"/>
        <v>0</v>
      </c>
    </row>
    <row r="229" spans="1:27">
      <c r="A229" s="100" t="s">
        <v>58</v>
      </c>
      <c r="B229" s="81" t="s">
        <v>326</v>
      </c>
      <c r="C229" s="36">
        <f>+C230+C231</f>
        <v>9999</v>
      </c>
      <c r="D229" s="41">
        <f>+D230+D231</f>
        <v>9999</v>
      </c>
      <c r="E229" s="11">
        <f>+E230+E231</f>
        <v>0</v>
      </c>
      <c r="F229" s="42">
        <f>+F230+F231</f>
        <v>0</v>
      </c>
      <c r="H229" s="4">
        <f t="shared" si="16"/>
        <v>0</v>
      </c>
    </row>
    <row r="230" spans="1:27" s="14" customFormat="1">
      <c r="A230" s="102" t="s">
        <v>293</v>
      </c>
      <c r="B230" s="82" t="s">
        <v>291</v>
      </c>
      <c r="C230" s="24">
        <f>+C91+C95</f>
        <v>0</v>
      </c>
      <c r="D230" s="20">
        <f>+D91+D95</f>
        <v>0</v>
      </c>
      <c r="E230" s="13">
        <f>+E91+E95</f>
        <v>0</v>
      </c>
      <c r="F230" s="16">
        <f>+F91+F95</f>
        <v>0</v>
      </c>
      <c r="H230" s="14">
        <f t="shared" si="16"/>
        <v>0</v>
      </c>
    </row>
    <row r="231" spans="1:27" s="14" customFormat="1">
      <c r="A231" s="102" t="s">
        <v>294</v>
      </c>
      <c r="B231" s="82" t="s">
        <v>292</v>
      </c>
      <c r="C231" s="24">
        <f>+C89+C90+C92+C93+C94+C96</f>
        <v>9999</v>
      </c>
      <c r="D231" s="20">
        <f>+D89+D90+D92+D93+D94+D96</f>
        <v>9999</v>
      </c>
      <c r="E231" s="13">
        <f>+E89+E90+E92+E93+E94+E96</f>
        <v>0</v>
      </c>
      <c r="F231" s="16">
        <f>+F89+F90+F92+F93+F94+F96</f>
        <v>0</v>
      </c>
      <c r="H231" s="14">
        <f t="shared" si="16"/>
        <v>0</v>
      </c>
    </row>
    <row r="232" spans="1:27">
      <c r="A232" s="101" t="s">
        <v>59</v>
      </c>
      <c r="B232" s="83" t="s">
        <v>327</v>
      </c>
      <c r="C232" s="23">
        <f>+C233+C234</f>
        <v>0</v>
      </c>
      <c r="D232" s="21">
        <f>+D233+D234</f>
        <v>0</v>
      </c>
      <c r="E232" s="12">
        <f>+E233+E234</f>
        <v>0</v>
      </c>
      <c r="F232" s="17">
        <f>+F233+F234</f>
        <v>0</v>
      </c>
      <c r="H232" s="4">
        <f t="shared" si="16"/>
        <v>0</v>
      </c>
    </row>
    <row r="233" spans="1:27" s="14" customFormat="1">
      <c r="A233" s="102" t="s">
        <v>295</v>
      </c>
      <c r="B233" s="82" t="s">
        <v>289</v>
      </c>
      <c r="C233" s="24">
        <f>+C200</f>
        <v>0</v>
      </c>
      <c r="D233" s="20">
        <f>+D200</f>
        <v>0</v>
      </c>
      <c r="E233" s="13">
        <f>+E200</f>
        <v>0</v>
      </c>
      <c r="F233" s="16">
        <f>+F200</f>
        <v>0</v>
      </c>
      <c r="H233" s="14">
        <f t="shared" si="16"/>
        <v>0</v>
      </c>
    </row>
    <row r="234" spans="1:27" s="14" customFormat="1" ht="12.75" thickBot="1">
      <c r="A234" s="106" t="s">
        <v>296</v>
      </c>
      <c r="B234" s="91" t="s">
        <v>290</v>
      </c>
      <c r="C234" s="59">
        <f>+C195+C196+C197+C198+C199+C201+C202</f>
        <v>0</v>
      </c>
      <c r="D234" s="57">
        <f>+D195+D196+D197+D198+D199+D201+D202</f>
        <v>0</v>
      </c>
      <c r="E234" s="52">
        <f>+E195+E196+E197+E198+E199+E201+E202</f>
        <v>0</v>
      </c>
      <c r="F234" s="53">
        <f>+F195+F196+F197+F198+F199+F201+F202</f>
        <v>0</v>
      </c>
      <c r="H234" s="14">
        <f t="shared" si="16"/>
        <v>0</v>
      </c>
    </row>
    <row r="237" spans="1:27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46" customFormat="1" ht="12.75" thickBot="1">
      <c r="A238" s="48" t="s">
        <v>284</v>
      </c>
      <c r="F238" s="47"/>
    </row>
    <row r="239" spans="1:27" s="3" customFormat="1">
      <c r="A239" s="107" t="s">
        <v>4</v>
      </c>
      <c r="B239" s="92" t="s">
        <v>91</v>
      </c>
      <c r="C239" s="67">
        <f>+D239+E239+F239</f>
        <v>193</v>
      </c>
      <c r="D239" s="68">
        <f>+'1.1.mell._ÖNK_Mérleg2019'!D239+'1.2.mell._HKÖH_Mérleg2019'!D239+'1.3.mell._HVÓBKI_Mérleg2019'!D239+'1.4.mell._HKK_Mérleg2019'!D239+'1.5._mell._MŐSZ_Mérleg2019'!D239+'1.6._mell._HVGYKCSSZ_Mérleg2019'!D239</f>
        <v>184</v>
      </c>
      <c r="E239" s="69">
        <f>+'1.1.mell._ÖNK_Mérleg2019'!E239+'1.2.mell._HKÖH_Mérleg2019'!E239+'1.3.mell._HVÓBKI_Mérleg2019'!E239+'1.4.mell._HKK_Mérleg2019'!E239+'1.5._mell._MŐSZ_Mérleg2019'!E239+'1.6._mell._HVGYKCSSZ_Mérleg2019'!E239</f>
        <v>9</v>
      </c>
      <c r="F239" s="70">
        <f>+'1.1.mell._ÖNK_Mérleg2019'!F239+'1.2.mell._HKÖH_Mérleg2019'!F239+'1.3.mell._HVÓBKI_Mérleg2019'!F239+'1.4.mell._HKK_Mérleg2019'!F239+'1.5._mell._MŐSZ_Mérleg2019'!F239+'1.6._mell._HVGYKCSSZ_Mérleg2019'!F239</f>
        <v>0</v>
      </c>
      <c r="H239" s="3">
        <f t="shared" si="16"/>
        <v>0</v>
      </c>
    </row>
    <row r="240" spans="1:27" s="14" customFormat="1">
      <c r="A240" s="105" t="s">
        <v>351</v>
      </c>
      <c r="B240" s="116" t="s">
        <v>352</v>
      </c>
      <c r="C240" s="117">
        <f>+D240+E240+F240</f>
        <v>0</v>
      </c>
      <c r="D240" s="118">
        <f>+'1.1.mell._ÖNK_Mérleg2019'!D240+'1.2.mell._HKÖH_Mérleg2019'!D240+'1.3.mell._HVÓBKI_Mérleg2019'!D240+'1.4.mell._HKK_Mérleg2019'!D240+'1.5._mell._MŐSZ_Mérleg2019'!D240+'1.6._mell._HVGYKCSSZ_Mérleg2019'!D240</f>
        <v>0</v>
      </c>
      <c r="E240" s="119">
        <f>+'1.1.mell._ÖNK_Mérleg2019'!E240+'1.2.mell._HKÖH_Mérleg2019'!E240+'1.3.mell._HVÓBKI_Mérleg2019'!E240+'1.4.mell._HKK_Mérleg2019'!E240+'1.5._mell._MŐSZ_Mérleg2019'!E240+'1.6._mell._HVGYKCSSZ_Mérleg2019'!E240</f>
        <v>0</v>
      </c>
      <c r="F240" s="120">
        <f>+'1.1.mell._ÖNK_Mérleg2019'!F240+'1.2.mell._HKÖH_Mérleg2019'!F240+'1.3.mell._HVÓBKI_Mérleg2019'!F240+'1.4.mell._HKK_Mérleg2019'!F240+'1.5._mell._MŐSZ_Mérleg2019'!F240+'1.6._mell._HVGYKCSSZ_Mérleg2019'!F240</f>
        <v>0</v>
      </c>
      <c r="H240" s="14">
        <f t="shared" si="16"/>
        <v>0</v>
      </c>
    </row>
    <row r="241" spans="1:8" s="3" customFormat="1" ht="12.75" thickBot="1">
      <c r="A241" s="108" t="s">
        <v>5</v>
      </c>
      <c r="B241" s="93" t="s">
        <v>92</v>
      </c>
      <c r="C241" s="71">
        <f>+D241+E241+F241</f>
        <v>121</v>
      </c>
      <c r="D241" s="72">
        <f>+'1.1.mell._ÖNK_Mérleg2019'!D241+'1.2.mell._HKÖH_Mérleg2019'!D241+'1.3.mell._HVÓBKI_Mérleg2019'!D241+'1.4.mell._HKK_Mérleg2019'!D241+'1.5._mell._MŐSZ_Mérleg2019'!D241+'1.6._mell._HVGYKCSSZ_Mérleg2019'!D241</f>
        <v>121</v>
      </c>
      <c r="E241" s="73">
        <f>+'1.1.mell._ÖNK_Mérleg2019'!E241+'1.2.mell._HKÖH_Mérleg2019'!E241+'1.3.mell._HVÓBKI_Mérleg2019'!E241+'1.4.mell._HKK_Mérleg2019'!E241+'1.5._mell._MŐSZ_Mérleg2019'!E241+'1.6._mell._HVGYKCSSZ_Mérleg2019'!E241</f>
        <v>0</v>
      </c>
      <c r="F241" s="74">
        <f>+'1.1.mell._ÖNK_Mérleg2019'!F241+'1.2.mell._HKÖH_Mérleg2019'!F241+'1.3.mell._HVÓBKI_Mérleg2019'!F241+'1.4.mell._HKK_Mérleg2019'!F241+'1.5._mell._MŐSZ_Mérleg2019'!F241+'1.6._mell._HVGYKCSSZ_Mérleg2019'!F241</f>
        <v>0</v>
      </c>
      <c r="H241" s="3">
        <f t="shared" si="16"/>
        <v>0</v>
      </c>
    </row>
    <row r="242" spans="1:8" s="3" customFormat="1" ht="12.75" thickBot="1">
      <c r="A242" s="99" t="s">
        <v>6</v>
      </c>
      <c r="B242" s="85" t="s">
        <v>330</v>
      </c>
      <c r="C242" s="75">
        <f>+C239+C241</f>
        <v>314</v>
      </c>
      <c r="D242" s="76">
        <f>+D239+D241</f>
        <v>305</v>
      </c>
      <c r="E242" s="77">
        <f>+E239+E241</f>
        <v>9</v>
      </c>
      <c r="F242" s="78">
        <f>+F239+F241</f>
        <v>0</v>
      </c>
      <c r="H242" s="3">
        <f t="shared" si="16"/>
        <v>0</v>
      </c>
    </row>
  </sheetData>
  <mergeCells count="9">
    <mergeCell ref="A3:F3"/>
    <mergeCell ref="A105:F105"/>
    <mergeCell ref="A211:F211"/>
    <mergeCell ref="A218:F218"/>
    <mergeCell ref="A237:F237"/>
    <mergeCell ref="C9:F9"/>
    <mergeCell ref="C108:F108"/>
    <mergeCell ref="A6:F6"/>
    <mergeCell ref="A4:F4"/>
  </mergeCells>
  <conditionalFormatting sqref="C26:F31 C89:F100 C74:F85 C65:F69 C59:F63 C52:F57 C45:F49 C33:F43 C13:F24 C195:F206 C180:F191 C166:F175 C160:F164 C151:F158 C147:F148 C133:F145 C124:F131 C117:F122 C111:F115">
    <cfRule type="cellIs" dxfId="0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 melléklet - &amp;P. oldal</oddHeader>
  </headerFooter>
  <rowBreaks count="1" manualBreakCount="1">
    <brk id="10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00B0F0"/>
  </sheetPr>
  <dimension ref="A1:AB242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6" width="9.28515625" style="141" customWidth="1"/>
    <col min="7" max="7" width="0" style="141" hidden="1" customWidth="1"/>
    <col min="8" max="8" width="9.140625" style="141" hidden="1" customWidth="1"/>
    <col min="9" max="16384" width="9.140625" style="141"/>
  </cols>
  <sheetData>
    <row r="1" spans="1:8" s="1100" customFormat="1" ht="15.75">
      <c r="F1" s="1101" t="s">
        <v>353</v>
      </c>
    </row>
    <row r="2" spans="1:8" s="1100" customFormat="1" ht="15.75"/>
    <row r="3" spans="1:8" s="1102" customFormat="1" ht="15.75">
      <c r="A3" s="1441" t="s">
        <v>354</v>
      </c>
      <c r="B3" s="1441"/>
      <c r="C3" s="1441"/>
      <c r="D3" s="1441"/>
      <c r="E3" s="1441"/>
      <c r="F3" s="1441"/>
    </row>
    <row r="4" spans="1:8" s="1102" customFormat="1" ht="15.75">
      <c r="A4" s="1441" t="s">
        <v>1319</v>
      </c>
      <c r="B4" s="1441"/>
      <c r="C4" s="1441"/>
      <c r="D4" s="1441"/>
      <c r="E4" s="1441"/>
      <c r="F4" s="1441"/>
    </row>
    <row r="5" spans="1:8" s="1100" customFormat="1" ht="15.75"/>
    <row r="6" spans="1:8" s="1102" customFormat="1" ht="15.75">
      <c r="A6" s="1441" t="s">
        <v>48</v>
      </c>
      <c r="B6" s="1441"/>
      <c r="C6" s="1441"/>
      <c r="D6" s="1441"/>
      <c r="E6" s="1441"/>
      <c r="F6" s="1441"/>
    </row>
    <row r="7" spans="1:8" s="1104" customFormat="1" ht="12.75" thickBot="1">
      <c r="A7" s="1103" t="s">
        <v>280</v>
      </c>
      <c r="F7" s="1105" t="s">
        <v>281</v>
      </c>
    </row>
    <row r="8" spans="1:8" s="1112" customFormat="1" ht="54" customHeight="1" thickBot="1">
      <c r="A8" s="1106" t="s">
        <v>17</v>
      </c>
      <c r="B8" s="1107" t="s">
        <v>328</v>
      </c>
      <c r="C8" s="1108" t="s">
        <v>1317</v>
      </c>
      <c r="D8" s="1109" t="s">
        <v>51</v>
      </c>
      <c r="E8" s="1110" t="s">
        <v>52</v>
      </c>
      <c r="F8" s="1111" t="s">
        <v>53</v>
      </c>
    </row>
    <row r="9" spans="1:8" s="143" customFormat="1" ht="12.75" thickBot="1">
      <c r="A9" s="1113" t="s">
        <v>253</v>
      </c>
      <c r="B9" s="1114" t="s">
        <v>254</v>
      </c>
      <c r="C9" s="1442" t="s">
        <v>255</v>
      </c>
      <c r="D9" s="1443"/>
      <c r="E9" s="1443"/>
      <c r="F9" s="1444"/>
    </row>
    <row r="10" spans="1:8" s="143" customFormat="1" ht="12.75" thickBot="1">
      <c r="A10" s="1115" t="s">
        <v>4</v>
      </c>
      <c r="B10" s="1116" t="s">
        <v>297</v>
      </c>
      <c r="C10" s="1117">
        <f>+C11+C25+C32+C44</f>
        <v>1410493</v>
      </c>
      <c r="D10" s="1118">
        <f>+D11+D25+D32+D44</f>
        <v>1410493</v>
      </c>
      <c r="E10" s="1119">
        <f>+E11+E25+E32+E44</f>
        <v>0</v>
      </c>
      <c r="F10" s="1120">
        <f>+F11+F25+F32+F44</f>
        <v>0</v>
      </c>
      <c r="H10" s="143">
        <f>+C10-D10-E10-F10</f>
        <v>0</v>
      </c>
    </row>
    <row r="11" spans="1:8" s="143" customFormat="1" ht="12.75" customHeight="1" thickBot="1">
      <c r="A11" s="1113" t="s">
        <v>5</v>
      </c>
      <c r="B11" s="1121" t="s">
        <v>298</v>
      </c>
      <c r="C11" s="130">
        <f>+C12+C19+C20+C21+C22+C23</f>
        <v>959566</v>
      </c>
      <c r="D11" s="131">
        <f>+D12+D19+D20+D21+D22+D23</f>
        <v>959566</v>
      </c>
      <c r="E11" s="132">
        <f>+E12+E19+E20+E21+E22+E23</f>
        <v>0</v>
      </c>
      <c r="F11" s="133">
        <f>+F12+F19+F20+F21+F22+F23</f>
        <v>0</v>
      </c>
      <c r="H11" s="143">
        <f t="shared" ref="H11:H74" si="0">+C11-D11-E11-F11</f>
        <v>0</v>
      </c>
    </row>
    <row r="12" spans="1:8" s="143" customFormat="1">
      <c r="A12" s="1122" t="s">
        <v>54</v>
      </c>
      <c r="B12" s="135" t="s">
        <v>299</v>
      </c>
      <c r="C12" s="136">
        <f>+C13+C14+C15+C16+C17+C18</f>
        <v>888836</v>
      </c>
      <c r="D12" s="1123">
        <f>+D13+D14+D15+D16+D17+D18</f>
        <v>888836</v>
      </c>
      <c r="E12" s="1124">
        <f>+E13+E14+E15+E16+E17+E18</f>
        <v>0</v>
      </c>
      <c r="F12" s="1125">
        <f>+F13+F14+F15+F16+F17+F18</f>
        <v>0</v>
      </c>
      <c r="H12" s="141">
        <f t="shared" si="0"/>
        <v>0</v>
      </c>
    </row>
    <row r="13" spans="1:8" s="140" customFormat="1">
      <c r="A13" s="127" t="s">
        <v>190</v>
      </c>
      <c r="B13" s="128" t="s">
        <v>93</v>
      </c>
      <c r="C13" s="134">
        <f>+D13+E13+F13</f>
        <v>221900</v>
      </c>
      <c r="D13" s="769">
        <v>221900</v>
      </c>
      <c r="E13" s="770"/>
      <c r="F13" s="771"/>
      <c r="H13" s="140">
        <f t="shared" si="0"/>
        <v>0</v>
      </c>
    </row>
    <row r="14" spans="1:8" s="140" customFormat="1">
      <c r="A14" s="127" t="s">
        <v>191</v>
      </c>
      <c r="B14" s="128" t="s">
        <v>94</v>
      </c>
      <c r="C14" s="134">
        <f t="shared" ref="C14:C24" si="1">+D14+E14+F14</f>
        <v>232153</v>
      </c>
      <c r="D14" s="769">
        <v>232153</v>
      </c>
      <c r="E14" s="770"/>
      <c r="F14" s="771"/>
      <c r="H14" s="140">
        <f t="shared" si="0"/>
        <v>0</v>
      </c>
    </row>
    <row r="15" spans="1:8" s="140" customFormat="1">
      <c r="A15" s="127" t="s">
        <v>192</v>
      </c>
      <c r="B15" s="128" t="s">
        <v>95</v>
      </c>
      <c r="C15" s="134">
        <f t="shared" si="1"/>
        <v>280259</v>
      </c>
      <c r="D15" s="769">
        <v>280259</v>
      </c>
      <c r="E15" s="770"/>
      <c r="F15" s="771"/>
      <c r="H15" s="140">
        <f t="shared" si="0"/>
        <v>0</v>
      </c>
    </row>
    <row r="16" spans="1:8" s="140" customFormat="1">
      <c r="A16" s="127" t="s">
        <v>193</v>
      </c>
      <c r="B16" s="128" t="s">
        <v>96</v>
      </c>
      <c r="C16" s="134">
        <f t="shared" si="1"/>
        <v>19679</v>
      </c>
      <c r="D16" s="769">
        <v>19679</v>
      </c>
      <c r="E16" s="770"/>
      <c r="F16" s="771"/>
      <c r="H16" s="140">
        <f t="shared" si="0"/>
        <v>0</v>
      </c>
    </row>
    <row r="17" spans="1:8" s="140" customFormat="1">
      <c r="A17" s="127" t="s">
        <v>194</v>
      </c>
      <c r="B17" s="128" t="s">
        <v>905</v>
      </c>
      <c r="C17" s="134">
        <f t="shared" si="1"/>
        <v>134845</v>
      </c>
      <c r="D17" s="769">
        <v>134845</v>
      </c>
      <c r="E17" s="770"/>
      <c r="F17" s="771"/>
      <c r="H17" s="140">
        <f t="shared" si="0"/>
        <v>0</v>
      </c>
    </row>
    <row r="18" spans="1:8" s="140" customFormat="1">
      <c r="A18" s="127" t="s">
        <v>195</v>
      </c>
      <c r="B18" s="128" t="s">
        <v>906</v>
      </c>
      <c r="C18" s="134">
        <f t="shared" si="1"/>
        <v>0</v>
      </c>
      <c r="D18" s="769"/>
      <c r="E18" s="770"/>
      <c r="F18" s="771"/>
      <c r="H18" s="140">
        <f t="shared" si="0"/>
        <v>0</v>
      </c>
    </row>
    <row r="19" spans="1:8">
      <c r="A19" s="1126" t="s">
        <v>55</v>
      </c>
      <c r="B19" s="1127" t="s">
        <v>97</v>
      </c>
      <c r="C19" s="129">
        <f t="shared" si="1"/>
        <v>3090</v>
      </c>
      <c r="D19" s="1094">
        <v>3090</v>
      </c>
      <c r="E19" s="1095"/>
      <c r="F19" s="1096"/>
      <c r="H19" s="141">
        <f t="shared" si="0"/>
        <v>0</v>
      </c>
    </row>
    <row r="20" spans="1:8">
      <c r="A20" s="1126" t="s">
        <v>83</v>
      </c>
      <c r="B20" s="1127" t="s">
        <v>98</v>
      </c>
      <c r="C20" s="129">
        <f t="shared" si="1"/>
        <v>0</v>
      </c>
      <c r="D20" s="1094"/>
      <c r="E20" s="1095"/>
      <c r="F20" s="1096"/>
      <c r="H20" s="141">
        <f t="shared" si="0"/>
        <v>0</v>
      </c>
    </row>
    <row r="21" spans="1:8">
      <c r="A21" s="1126" t="s">
        <v>84</v>
      </c>
      <c r="B21" s="1127" t="s">
        <v>99</v>
      </c>
      <c r="C21" s="129">
        <f t="shared" si="1"/>
        <v>0</v>
      </c>
      <c r="D21" s="1094"/>
      <c r="E21" s="1095"/>
      <c r="F21" s="1096"/>
      <c r="H21" s="141">
        <f t="shared" si="0"/>
        <v>0</v>
      </c>
    </row>
    <row r="22" spans="1:8">
      <c r="A22" s="1126" t="s">
        <v>85</v>
      </c>
      <c r="B22" s="1127" t="s">
        <v>100</v>
      </c>
      <c r="C22" s="129">
        <f t="shared" si="1"/>
        <v>0</v>
      </c>
      <c r="D22" s="1094"/>
      <c r="E22" s="1095"/>
      <c r="F22" s="1096"/>
      <c r="H22" s="141">
        <f t="shared" si="0"/>
        <v>0</v>
      </c>
    </row>
    <row r="23" spans="1:8">
      <c r="A23" s="1128" t="s">
        <v>86</v>
      </c>
      <c r="B23" s="1129" t="s">
        <v>101</v>
      </c>
      <c r="C23" s="142">
        <f t="shared" si="1"/>
        <v>67640</v>
      </c>
      <c r="D23" s="1097">
        <v>67640</v>
      </c>
      <c r="E23" s="1098"/>
      <c r="F23" s="1099"/>
      <c r="H23" s="141">
        <f t="shared" si="0"/>
        <v>0</v>
      </c>
    </row>
    <row r="24" spans="1:8" s="140" customFormat="1" ht="12.75" thickBot="1">
      <c r="A24" s="1130" t="s">
        <v>332</v>
      </c>
      <c r="B24" s="1131" t="s">
        <v>333</v>
      </c>
      <c r="C24" s="1132">
        <f t="shared" si="1"/>
        <v>0</v>
      </c>
      <c r="D24" s="1133"/>
      <c r="E24" s="1134"/>
      <c r="F24" s="1135"/>
      <c r="H24" s="140">
        <f t="shared" si="0"/>
        <v>0</v>
      </c>
    </row>
    <row r="25" spans="1:8" s="143" customFormat="1" ht="12.75" customHeight="1" thickBot="1">
      <c r="A25" s="1113" t="s">
        <v>6</v>
      </c>
      <c r="B25" s="1121" t="s">
        <v>787</v>
      </c>
      <c r="C25" s="130">
        <f>+C26+C27+C28+C29+C30+C31</f>
        <v>371480</v>
      </c>
      <c r="D25" s="131">
        <f>+D26+D27+D28+D29+D30+D31</f>
        <v>371480</v>
      </c>
      <c r="E25" s="132">
        <f>+E26+E27+E28+E29+E30+E31</f>
        <v>0</v>
      </c>
      <c r="F25" s="133">
        <f>+F26+F27+F28+F29+F30+F31</f>
        <v>0</v>
      </c>
      <c r="H25" s="143">
        <f t="shared" si="0"/>
        <v>0</v>
      </c>
    </row>
    <row r="26" spans="1:8" ht="12.75" customHeight="1">
      <c r="A26" s="1122" t="s">
        <v>58</v>
      </c>
      <c r="B26" s="135" t="s">
        <v>102</v>
      </c>
      <c r="C26" s="136">
        <f t="shared" ref="C26:C31" si="2">+D26+E26+F26</f>
        <v>60</v>
      </c>
      <c r="D26" s="137">
        <v>60</v>
      </c>
      <c r="E26" s="138"/>
      <c r="F26" s="139"/>
      <c r="H26" s="141">
        <f t="shared" si="0"/>
        <v>0</v>
      </c>
    </row>
    <row r="27" spans="1:8" ht="12.75" customHeight="1">
      <c r="A27" s="1126" t="s">
        <v>59</v>
      </c>
      <c r="B27" s="1127" t="s">
        <v>103</v>
      </c>
      <c r="C27" s="129">
        <f t="shared" si="2"/>
        <v>0</v>
      </c>
      <c r="D27" s="1094"/>
      <c r="E27" s="1095"/>
      <c r="F27" s="1096"/>
      <c r="H27" s="141">
        <f t="shared" si="0"/>
        <v>0</v>
      </c>
    </row>
    <row r="28" spans="1:8" ht="12.75" customHeight="1">
      <c r="A28" s="1126" t="s">
        <v>60</v>
      </c>
      <c r="B28" s="1127" t="s">
        <v>104</v>
      </c>
      <c r="C28" s="129">
        <f t="shared" si="2"/>
        <v>0</v>
      </c>
      <c r="D28" s="1094"/>
      <c r="E28" s="1095"/>
      <c r="F28" s="1096"/>
      <c r="H28" s="141">
        <f t="shared" si="0"/>
        <v>0</v>
      </c>
    </row>
    <row r="29" spans="1:8" ht="12.75" customHeight="1">
      <c r="A29" s="1126" t="s">
        <v>180</v>
      </c>
      <c r="B29" s="1127" t="s">
        <v>105</v>
      </c>
      <c r="C29" s="129">
        <f t="shared" si="2"/>
        <v>62000</v>
      </c>
      <c r="D29" s="1094">
        <v>62000</v>
      </c>
      <c r="E29" s="1095"/>
      <c r="F29" s="1096"/>
      <c r="H29" s="141">
        <f t="shared" si="0"/>
        <v>0</v>
      </c>
    </row>
    <row r="30" spans="1:8" ht="12.75" customHeight="1">
      <c r="A30" s="1128" t="s">
        <v>181</v>
      </c>
      <c r="B30" s="1129" t="s">
        <v>106</v>
      </c>
      <c r="C30" s="142">
        <f t="shared" si="2"/>
        <v>307720</v>
      </c>
      <c r="D30" s="1097">
        <v>307720</v>
      </c>
      <c r="E30" s="1098"/>
      <c r="F30" s="1099"/>
      <c r="H30" s="141">
        <f t="shared" si="0"/>
        <v>0</v>
      </c>
    </row>
    <row r="31" spans="1:8" ht="12.75" customHeight="1" thickBot="1">
      <c r="A31" s="1128" t="s">
        <v>786</v>
      </c>
      <c r="B31" s="1129" t="s">
        <v>788</v>
      </c>
      <c r="C31" s="142">
        <f t="shared" si="2"/>
        <v>1700</v>
      </c>
      <c r="D31" s="1097">
        <v>1700</v>
      </c>
      <c r="E31" s="1098"/>
      <c r="F31" s="1099"/>
      <c r="H31" s="141">
        <f t="shared" si="0"/>
        <v>0</v>
      </c>
    </row>
    <row r="32" spans="1:8" s="143" customFormat="1" ht="12.75" customHeight="1" thickBot="1">
      <c r="A32" s="1113" t="s">
        <v>3</v>
      </c>
      <c r="B32" s="1121" t="s">
        <v>981</v>
      </c>
      <c r="C32" s="130">
        <f>+C33+C34+C35+C36+C37+C38+C39+C40+C41+C42+C43</f>
        <v>73647</v>
      </c>
      <c r="D32" s="131">
        <f>+D33+D34+D35+D36+D37+D38+D39+D40+D41+D42+D43</f>
        <v>73647</v>
      </c>
      <c r="E32" s="132">
        <f>+E33+E34+E35+E36+E37+E38+E39+E40+E41+E42+E43</f>
        <v>0</v>
      </c>
      <c r="F32" s="133">
        <f>+F33+F34+F35+F36+F37+F38+F39+F40+F41+F42+F43</f>
        <v>0</v>
      </c>
      <c r="H32" s="143">
        <f t="shared" si="0"/>
        <v>0</v>
      </c>
    </row>
    <row r="33" spans="1:8" ht="12.75" customHeight="1">
      <c r="A33" s="1122" t="s">
        <v>61</v>
      </c>
      <c r="B33" s="135" t="s">
        <v>107</v>
      </c>
      <c r="C33" s="136">
        <f t="shared" ref="C33:C43" si="3">+D33+E33+F33</f>
        <v>0</v>
      </c>
      <c r="D33" s="137"/>
      <c r="E33" s="138"/>
      <c r="F33" s="139"/>
      <c r="H33" s="141">
        <f t="shared" si="0"/>
        <v>0</v>
      </c>
    </row>
    <row r="34" spans="1:8" ht="12.75" customHeight="1">
      <c r="A34" s="1126" t="s">
        <v>62</v>
      </c>
      <c r="B34" s="1127" t="s">
        <v>108</v>
      </c>
      <c r="C34" s="129">
        <f t="shared" si="3"/>
        <v>29241</v>
      </c>
      <c r="D34" s="1094">
        <v>29241</v>
      </c>
      <c r="E34" s="1095"/>
      <c r="F34" s="1096"/>
      <c r="H34" s="141">
        <f t="shared" si="0"/>
        <v>0</v>
      </c>
    </row>
    <row r="35" spans="1:8" ht="12.75" customHeight="1">
      <c r="A35" s="1126" t="s">
        <v>63</v>
      </c>
      <c r="B35" s="1127" t="s">
        <v>109</v>
      </c>
      <c r="C35" s="129">
        <f t="shared" si="3"/>
        <v>0</v>
      </c>
      <c r="D35" s="1094"/>
      <c r="E35" s="1095"/>
      <c r="F35" s="1096"/>
      <c r="H35" s="141">
        <f t="shared" si="0"/>
        <v>0</v>
      </c>
    </row>
    <row r="36" spans="1:8" ht="12.75" customHeight="1">
      <c r="A36" s="1126" t="s">
        <v>64</v>
      </c>
      <c r="B36" s="1127" t="s">
        <v>110</v>
      </c>
      <c r="C36" s="129">
        <f t="shared" si="3"/>
        <v>236</v>
      </c>
      <c r="D36" s="1094">
        <v>236</v>
      </c>
      <c r="E36" s="1095"/>
      <c r="F36" s="1096"/>
      <c r="H36" s="141">
        <f t="shared" si="0"/>
        <v>0</v>
      </c>
    </row>
    <row r="37" spans="1:8" ht="12.75" customHeight="1">
      <c r="A37" s="1126" t="s">
        <v>65</v>
      </c>
      <c r="B37" s="1127" t="s">
        <v>111</v>
      </c>
      <c r="C37" s="129">
        <f t="shared" si="3"/>
        <v>0</v>
      </c>
      <c r="D37" s="1094"/>
      <c r="E37" s="1095"/>
      <c r="F37" s="1096"/>
      <c r="H37" s="141">
        <f t="shared" si="0"/>
        <v>0</v>
      </c>
    </row>
    <row r="38" spans="1:8" ht="12.75" customHeight="1">
      <c r="A38" s="1126" t="s">
        <v>222</v>
      </c>
      <c r="B38" s="1127" t="s">
        <v>112</v>
      </c>
      <c r="C38" s="129">
        <f t="shared" si="3"/>
        <v>7960</v>
      </c>
      <c r="D38" s="1094">
        <v>7960</v>
      </c>
      <c r="E38" s="1095"/>
      <c r="F38" s="1096"/>
      <c r="H38" s="141">
        <f t="shared" si="0"/>
        <v>0</v>
      </c>
    </row>
    <row r="39" spans="1:8" ht="12.75" customHeight="1">
      <c r="A39" s="1126" t="s">
        <v>223</v>
      </c>
      <c r="B39" s="1127" t="s">
        <v>113</v>
      </c>
      <c r="C39" s="129">
        <f t="shared" si="3"/>
        <v>17263</v>
      </c>
      <c r="D39" s="1094">
        <v>17263</v>
      </c>
      <c r="E39" s="1095"/>
      <c r="F39" s="1096"/>
      <c r="H39" s="141">
        <f t="shared" si="0"/>
        <v>0</v>
      </c>
    </row>
    <row r="40" spans="1:8" ht="12.75" customHeight="1">
      <c r="A40" s="1126" t="s">
        <v>224</v>
      </c>
      <c r="B40" s="1127" t="s">
        <v>991</v>
      </c>
      <c r="C40" s="129">
        <f t="shared" si="3"/>
        <v>0</v>
      </c>
      <c r="D40" s="1094"/>
      <c r="E40" s="1095"/>
      <c r="F40" s="1096"/>
      <c r="H40" s="141">
        <f t="shared" si="0"/>
        <v>0</v>
      </c>
    </row>
    <row r="41" spans="1:8" ht="12.75" customHeight="1">
      <c r="A41" s="1126" t="s">
        <v>225</v>
      </c>
      <c r="B41" s="1127" t="s">
        <v>114</v>
      </c>
      <c r="C41" s="129">
        <f t="shared" si="3"/>
        <v>0</v>
      </c>
      <c r="D41" s="1094"/>
      <c r="E41" s="1095"/>
      <c r="F41" s="1096"/>
      <c r="H41" s="141">
        <f t="shared" si="0"/>
        <v>0</v>
      </c>
    </row>
    <row r="42" spans="1:8" ht="12.75" customHeight="1">
      <c r="A42" s="1128" t="s">
        <v>226</v>
      </c>
      <c r="B42" s="1129" t="s">
        <v>908</v>
      </c>
      <c r="C42" s="129">
        <f>+D42+E42+F42</f>
        <v>0</v>
      </c>
      <c r="D42" s="1094"/>
      <c r="E42" s="1095"/>
      <c r="F42" s="1096"/>
      <c r="H42" s="141">
        <f t="shared" si="0"/>
        <v>0</v>
      </c>
    </row>
    <row r="43" spans="1:8" ht="12.75" customHeight="1" thickBot="1">
      <c r="A43" s="1128" t="s">
        <v>907</v>
      </c>
      <c r="B43" s="1129" t="s">
        <v>909</v>
      </c>
      <c r="C43" s="142">
        <f t="shared" si="3"/>
        <v>18947</v>
      </c>
      <c r="D43" s="1097">
        <v>18947</v>
      </c>
      <c r="E43" s="1098"/>
      <c r="F43" s="1099"/>
      <c r="H43" s="141">
        <f t="shared" si="0"/>
        <v>0</v>
      </c>
    </row>
    <row r="44" spans="1:8" s="143" customFormat="1" ht="12.75" thickBot="1">
      <c r="A44" s="1113" t="s">
        <v>16</v>
      </c>
      <c r="B44" s="1121" t="s">
        <v>982</v>
      </c>
      <c r="C44" s="130">
        <f>+C45+C46+C47+C48+C49</f>
        <v>5800</v>
      </c>
      <c r="D44" s="131">
        <f>+D45+D46+D47+D48+D49</f>
        <v>5800</v>
      </c>
      <c r="E44" s="132">
        <f>+E45+E46+E47+E48+E49</f>
        <v>0</v>
      </c>
      <c r="F44" s="133">
        <f>+F45+F46+F47+F48+F49</f>
        <v>0</v>
      </c>
      <c r="H44" s="143">
        <f t="shared" si="0"/>
        <v>0</v>
      </c>
    </row>
    <row r="45" spans="1:8" ht="12.75" customHeight="1">
      <c r="A45" s="1122" t="s">
        <v>227</v>
      </c>
      <c r="B45" s="135" t="s">
        <v>115</v>
      </c>
      <c r="C45" s="136">
        <f>+D45+E45+F45</f>
        <v>0</v>
      </c>
      <c r="D45" s="137"/>
      <c r="E45" s="138"/>
      <c r="F45" s="139"/>
      <c r="H45" s="141">
        <f t="shared" si="0"/>
        <v>0</v>
      </c>
    </row>
    <row r="46" spans="1:8" ht="12.75" customHeight="1">
      <c r="A46" s="1122" t="s">
        <v>228</v>
      </c>
      <c r="B46" s="135" t="s">
        <v>910</v>
      </c>
      <c r="C46" s="129">
        <f>+D46+E46+F46</f>
        <v>0</v>
      </c>
      <c r="D46" s="1094"/>
      <c r="E46" s="1095"/>
      <c r="F46" s="1096"/>
      <c r="H46" s="141">
        <f t="shared" si="0"/>
        <v>0</v>
      </c>
    </row>
    <row r="47" spans="1:8" ht="12.75" customHeight="1">
      <c r="A47" s="1122" t="s">
        <v>229</v>
      </c>
      <c r="B47" s="135" t="s">
        <v>911</v>
      </c>
      <c r="C47" s="142">
        <f>+D47+E47+F47</f>
        <v>0</v>
      </c>
      <c r="D47" s="1097"/>
      <c r="E47" s="1098"/>
      <c r="F47" s="1099"/>
      <c r="H47" s="141">
        <f t="shared" si="0"/>
        <v>0</v>
      </c>
    </row>
    <row r="48" spans="1:8" ht="12.75" customHeight="1">
      <c r="A48" s="1126" t="s">
        <v>257</v>
      </c>
      <c r="B48" s="1127" t="s">
        <v>912</v>
      </c>
      <c r="C48" s="129">
        <f>+D48+E48+F48</f>
        <v>4000</v>
      </c>
      <c r="D48" s="1094">
        <v>4000</v>
      </c>
      <c r="E48" s="1095"/>
      <c r="F48" s="1096"/>
      <c r="H48" s="141">
        <f t="shared" si="0"/>
        <v>0</v>
      </c>
    </row>
    <row r="49" spans="1:8" ht="12.75" customHeight="1" thickBot="1">
      <c r="A49" s="1128" t="s">
        <v>258</v>
      </c>
      <c r="B49" s="1129" t="s">
        <v>913</v>
      </c>
      <c r="C49" s="142">
        <f>+D49+E49+F49</f>
        <v>1800</v>
      </c>
      <c r="D49" s="1097">
        <v>1800</v>
      </c>
      <c r="E49" s="1098"/>
      <c r="F49" s="1099"/>
      <c r="H49" s="141">
        <f t="shared" si="0"/>
        <v>0</v>
      </c>
    </row>
    <row r="50" spans="1:8" s="143" customFormat="1" ht="12.75" thickBot="1">
      <c r="A50" s="1113" t="s">
        <v>15</v>
      </c>
      <c r="B50" s="1136" t="s">
        <v>300</v>
      </c>
      <c r="C50" s="130">
        <f>+C51+C58+C64</f>
        <v>389249</v>
      </c>
      <c r="D50" s="131">
        <f>+D51+D58+D64</f>
        <v>37749</v>
      </c>
      <c r="E50" s="132">
        <f>+E51+E58+E64</f>
        <v>351500</v>
      </c>
      <c r="F50" s="133">
        <f>+F51+F58+F64</f>
        <v>0</v>
      </c>
      <c r="H50" s="143">
        <f t="shared" si="0"/>
        <v>0</v>
      </c>
    </row>
    <row r="51" spans="1:8" s="143" customFormat="1" ht="12.75" customHeight="1" thickBot="1">
      <c r="A51" s="1113" t="s">
        <v>14</v>
      </c>
      <c r="B51" s="1121" t="s">
        <v>301</v>
      </c>
      <c r="C51" s="130">
        <f>+C52+C53+C54+C55+C56</f>
        <v>377399</v>
      </c>
      <c r="D51" s="131">
        <f>+D52+D53+D54+D55+D56</f>
        <v>27399</v>
      </c>
      <c r="E51" s="132">
        <f>+E52+E53+E54+E55+E56</f>
        <v>350000</v>
      </c>
      <c r="F51" s="133">
        <f>+F52+F53+F54+F55+F56</f>
        <v>0</v>
      </c>
      <c r="H51" s="143">
        <f t="shared" si="0"/>
        <v>0</v>
      </c>
    </row>
    <row r="52" spans="1:8">
      <c r="A52" s="1122" t="s">
        <v>185</v>
      </c>
      <c r="B52" s="135" t="s">
        <v>116</v>
      </c>
      <c r="C52" s="136">
        <f t="shared" ref="C52:C57" si="4">+D52+E52+F52</f>
        <v>0</v>
      </c>
      <c r="D52" s="137"/>
      <c r="E52" s="138"/>
      <c r="F52" s="139"/>
      <c r="H52" s="141">
        <f t="shared" si="0"/>
        <v>0</v>
      </c>
    </row>
    <row r="53" spans="1:8">
      <c r="A53" s="1126" t="s">
        <v>186</v>
      </c>
      <c r="B53" s="1127" t="s">
        <v>117</v>
      </c>
      <c r="C53" s="129">
        <f t="shared" si="4"/>
        <v>0</v>
      </c>
      <c r="D53" s="1094"/>
      <c r="E53" s="1095"/>
      <c r="F53" s="1096"/>
      <c r="H53" s="141">
        <f t="shared" si="0"/>
        <v>0</v>
      </c>
    </row>
    <row r="54" spans="1:8">
      <c r="A54" s="1126" t="s">
        <v>187</v>
      </c>
      <c r="B54" s="1127" t="s">
        <v>118</v>
      </c>
      <c r="C54" s="129">
        <f t="shared" si="4"/>
        <v>0</v>
      </c>
      <c r="D54" s="1094"/>
      <c r="E54" s="1095"/>
      <c r="F54" s="1096"/>
      <c r="H54" s="141">
        <f t="shared" si="0"/>
        <v>0</v>
      </c>
    </row>
    <row r="55" spans="1:8">
      <c r="A55" s="1126" t="s">
        <v>188</v>
      </c>
      <c r="B55" s="1127" t="s">
        <v>119</v>
      </c>
      <c r="C55" s="129">
        <f t="shared" si="4"/>
        <v>0</v>
      </c>
      <c r="D55" s="1094"/>
      <c r="E55" s="1095"/>
      <c r="F55" s="1096"/>
      <c r="H55" s="141">
        <f t="shared" si="0"/>
        <v>0</v>
      </c>
    </row>
    <row r="56" spans="1:8">
      <c r="A56" s="1128" t="s">
        <v>189</v>
      </c>
      <c r="B56" s="1129" t="s">
        <v>120</v>
      </c>
      <c r="C56" s="142">
        <f t="shared" si="4"/>
        <v>377399</v>
      </c>
      <c r="D56" s="1097">
        <v>27399</v>
      </c>
      <c r="E56" s="1098">
        <v>350000</v>
      </c>
      <c r="F56" s="1099"/>
      <c r="H56" s="141">
        <f t="shared" si="0"/>
        <v>0</v>
      </c>
    </row>
    <row r="57" spans="1:8" s="140" customFormat="1" ht="12.75" thickBot="1">
      <c r="A57" s="1130" t="s">
        <v>334</v>
      </c>
      <c r="B57" s="1131" t="s">
        <v>338</v>
      </c>
      <c r="C57" s="1132">
        <f t="shared" si="4"/>
        <v>0</v>
      </c>
      <c r="D57" s="1133"/>
      <c r="E57" s="1134"/>
      <c r="F57" s="1135"/>
      <c r="H57" s="140">
        <f t="shared" si="0"/>
        <v>0</v>
      </c>
    </row>
    <row r="58" spans="1:8" s="143" customFormat="1" ht="12.75" customHeight="1" thickBot="1">
      <c r="A58" s="1113" t="s">
        <v>13</v>
      </c>
      <c r="B58" s="1121" t="s">
        <v>302</v>
      </c>
      <c r="C58" s="130">
        <f>+C59+C60+C61+C62+C63</f>
        <v>10350</v>
      </c>
      <c r="D58" s="131">
        <f>+D59+D60+D61+D62+D63</f>
        <v>10350</v>
      </c>
      <c r="E58" s="132">
        <f>+E59+E60+E61+E62+E63</f>
        <v>0</v>
      </c>
      <c r="F58" s="133">
        <f>+F59+F60+F61+F62+F63</f>
        <v>0</v>
      </c>
      <c r="H58" s="143">
        <f t="shared" si="0"/>
        <v>0</v>
      </c>
    </row>
    <row r="59" spans="1:8" ht="12.75" customHeight="1">
      <c r="A59" s="1122" t="s">
        <v>66</v>
      </c>
      <c r="B59" s="135" t="s">
        <v>121</v>
      </c>
      <c r="C59" s="136">
        <f>+D59+E59+F59</f>
        <v>0</v>
      </c>
      <c r="D59" s="137"/>
      <c r="E59" s="138"/>
      <c r="F59" s="139"/>
      <c r="H59" s="141">
        <f t="shared" si="0"/>
        <v>0</v>
      </c>
    </row>
    <row r="60" spans="1:8" ht="12.75" customHeight="1">
      <c r="A60" s="1126" t="s">
        <v>67</v>
      </c>
      <c r="B60" s="1127" t="s">
        <v>122</v>
      </c>
      <c r="C60" s="129">
        <f>+D60+E60+F60</f>
        <v>10350</v>
      </c>
      <c r="D60" s="1094">
        <v>10350</v>
      </c>
      <c r="E60" s="1095"/>
      <c r="F60" s="1096"/>
      <c r="H60" s="141">
        <f t="shared" si="0"/>
        <v>0</v>
      </c>
    </row>
    <row r="61" spans="1:8" ht="12.75" customHeight="1">
      <c r="A61" s="1126" t="s">
        <v>68</v>
      </c>
      <c r="B61" s="1127" t="s">
        <v>123</v>
      </c>
      <c r="C61" s="129">
        <f>+D61+E61+F61</f>
        <v>0</v>
      </c>
      <c r="D61" s="1094"/>
      <c r="E61" s="1095"/>
      <c r="F61" s="1096"/>
      <c r="H61" s="141">
        <f t="shared" si="0"/>
        <v>0</v>
      </c>
    </row>
    <row r="62" spans="1:8" ht="12.75" customHeight="1">
      <c r="A62" s="1126" t="s">
        <v>230</v>
      </c>
      <c r="B62" s="1127" t="s">
        <v>124</v>
      </c>
      <c r="C62" s="129">
        <f>+D62+E62+F62</f>
        <v>0</v>
      </c>
      <c r="D62" s="1094"/>
      <c r="E62" s="1095"/>
      <c r="F62" s="1096"/>
      <c r="H62" s="141">
        <f t="shared" si="0"/>
        <v>0</v>
      </c>
    </row>
    <row r="63" spans="1:8" ht="12.75" customHeight="1" thickBot="1">
      <c r="A63" s="1128" t="s">
        <v>231</v>
      </c>
      <c r="B63" s="1129" t="s">
        <v>125</v>
      </c>
      <c r="C63" s="142">
        <f>+D63+E63+F63</f>
        <v>0</v>
      </c>
      <c r="D63" s="1097"/>
      <c r="E63" s="1098"/>
      <c r="F63" s="1099"/>
      <c r="H63" s="141">
        <f t="shared" si="0"/>
        <v>0</v>
      </c>
    </row>
    <row r="64" spans="1:8" s="143" customFormat="1" ht="12.75" thickBot="1">
      <c r="A64" s="1113" t="s">
        <v>12</v>
      </c>
      <c r="B64" s="1121" t="s">
        <v>917</v>
      </c>
      <c r="C64" s="130">
        <f>+C65+C66+C67+C68+C69</f>
        <v>1500</v>
      </c>
      <c r="D64" s="131">
        <f>+D65+D66+D67+D68+D69</f>
        <v>0</v>
      </c>
      <c r="E64" s="132">
        <f>+E65+E66+E67+E68+E69</f>
        <v>1500</v>
      </c>
      <c r="F64" s="133">
        <f>+F65+F66+F67+F68+F69</f>
        <v>0</v>
      </c>
      <c r="H64" s="143">
        <f t="shared" si="0"/>
        <v>0</v>
      </c>
    </row>
    <row r="65" spans="1:8">
      <c r="A65" s="1122" t="s">
        <v>69</v>
      </c>
      <c r="B65" s="135" t="s">
        <v>126</v>
      </c>
      <c r="C65" s="136">
        <f>+D65+E65+F65</f>
        <v>0</v>
      </c>
      <c r="D65" s="137"/>
      <c r="E65" s="138"/>
      <c r="F65" s="139"/>
      <c r="H65" s="141">
        <f t="shared" si="0"/>
        <v>0</v>
      </c>
    </row>
    <row r="66" spans="1:8">
      <c r="A66" s="1122" t="s">
        <v>70</v>
      </c>
      <c r="B66" s="135" t="s">
        <v>918</v>
      </c>
      <c r="C66" s="129">
        <f>+D66+E66+F66</f>
        <v>0</v>
      </c>
      <c r="D66" s="1094"/>
      <c r="E66" s="1095"/>
      <c r="F66" s="1096"/>
      <c r="H66" s="141">
        <f t="shared" si="0"/>
        <v>0</v>
      </c>
    </row>
    <row r="67" spans="1:8">
      <c r="A67" s="1122" t="s">
        <v>71</v>
      </c>
      <c r="B67" s="135" t="s">
        <v>919</v>
      </c>
      <c r="C67" s="142">
        <f>+D67+E67+F67</f>
        <v>0</v>
      </c>
      <c r="D67" s="1097"/>
      <c r="E67" s="1098"/>
      <c r="F67" s="1099"/>
      <c r="H67" s="141">
        <f t="shared" si="0"/>
        <v>0</v>
      </c>
    </row>
    <row r="68" spans="1:8">
      <c r="A68" s="1126" t="s">
        <v>72</v>
      </c>
      <c r="B68" s="1127" t="s">
        <v>915</v>
      </c>
      <c r="C68" s="129">
        <f>+D68+E68+F68</f>
        <v>0</v>
      </c>
      <c r="D68" s="1094"/>
      <c r="E68" s="1095"/>
      <c r="F68" s="1096"/>
      <c r="H68" s="141">
        <f t="shared" si="0"/>
        <v>0</v>
      </c>
    </row>
    <row r="69" spans="1:8" ht="12.75" thickBot="1">
      <c r="A69" s="1128" t="s">
        <v>914</v>
      </c>
      <c r="B69" s="1129" t="s">
        <v>916</v>
      </c>
      <c r="C69" s="142">
        <f>+D69+E69+F69</f>
        <v>1500</v>
      </c>
      <c r="D69" s="1097"/>
      <c r="E69" s="1098">
        <v>1500</v>
      </c>
      <c r="F69" s="1099"/>
      <c r="H69" s="141">
        <f t="shared" si="0"/>
        <v>0</v>
      </c>
    </row>
    <row r="70" spans="1:8" s="143" customFormat="1" ht="12.75" thickBot="1">
      <c r="A70" s="1113" t="s">
        <v>11</v>
      </c>
      <c r="B70" s="1136" t="s">
        <v>303</v>
      </c>
      <c r="C70" s="130">
        <f>+C10+C50</f>
        <v>1799742</v>
      </c>
      <c r="D70" s="131">
        <f>+D10+D50</f>
        <v>1448242</v>
      </c>
      <c r="E70" s="132">
        <f>+E10+E50</f>
        <v>351500</v>
      </c>
      <c r="F70" s="133">
        <f>+F10+F50</f>
        <v>0</v>
      </c>
      <c r="H70" s="143">
        <f t="shared" si="0"/>
        <v>0</v>
      </c>
    </row>
    <row r="71" spans="1:8" s="143" customFormat="1" ht="12.75" thickBot="1">
      <c r="A71" s="1113" t="s">
        <v>10</v>
      </c>
      <c r="B71" s="1137" t="s">
        <v>304</v>
      </c>
      <c r="C71" s="130">
        <f>+C72</f>
        <v>2738772</v>
      </c>
      <c r="D71" s="131">
        <f>+D72</f>
        <v>2738772</v>
      </c>
      <c r="E71" s="132">
        <f>+E72</f>
        <v>0</v>
      </c>
      <c r="F71" s="133">
        <f>+F72</f>
        <v>0</v>
      </c>
      <c r="H71" s="143">
        <f t="shared" si="0"/>
        <v>0</v>
      </c>
    </row>
    <row r="72" spans="1:8" s="143" customFormat="1" ht="12.75" thickBot="1">
      <c r="A72" s="1113" t="s">
        <v>9</v>
      </c>
      <c r="B72" s="1121" t="s">
        <v>926</v>
      </c>
      <c r="C72" s="130">
        <f>+C73+C83+C84+C85</f>
        <v>2738772</v>
      </c>
      <c r="D72" s="131">
        <f>+D73+D83+D84+D85</f>
        <v>2738772</v>
      </c>
      <c r="E72" s="132">
        <f>+E73+E83+E84+E85</f>
        <v>0</v>
      </c>
      <c r="F72" s="133">
        <f>+F73+F83+F84+F85</f>
        <v>0</v>
      </c>
      <c r="H72" s="143">
        <f t="shared" si="0"/>
        <v>0</v>
      </c>
    </row>
    <row r="73" spans="1:8">
      <c r="A73" s="1122" t="s">
        <v>73</v>
      </c>
      <c r="B73" s="135" t="s">
        <v>921</v>
      </c>
      <c r="C73" s="136">
        <f>+C74+C75+C76+C77+C78+C79+C80+C81+C82</f>
        <v>2738772</v>
      </c>
      <c r="D73" s="137">
        <f>+D74+D75+D76+D77+D78+D79+D80+D81+D82</f>
        <v>2738772</v>
      </c>
      <c r="E73" s="138">
        <f>+E74+E75+E76+E77+E78+E79+E80+E81+E82</f>
        <v>0</v>
      </c>
      <c r="F73" s="139">
        <f>+F74+F75+F76+F77+F78+F79+F80+F81+F82</f>
        <v>0</v>
      </c>
      <c r="H73" s="141">
        <f t="shared" si="0"/>
        <v>0</v>
      </c>
    </row>
    <row r="74" spans="1:8" s="140" customFormat="1">
      <c r="A74" s="127" t="s">
        <v>196</v>
      </c>
      <c r="B74" s="128" t="s">
        <v>920</v>
      </c>
      <c r="C74" s="134">
        <f t="shared" ref="C74:C84" si="5">+D74+E74+F74</f>
        <v>0</v>
      </c>
      <c r="D74" s="769"/>
      <c r="E74" s="770"/>
      <c r="F74" s="771"/>
      <c r="H74" s="140">
        <f t="shared" si="0"/>
        <v>0</v>
      </c>
    </row>
    <row r="75" spans="1:8" s="140" customFormat="1">
      <c r="A75" s="127" t="s">
        <v>197</v>
      </c>
      <c r="B75" s="128" t="s">
        <v>247</v>
      </c>
      <c r="C75" s="134">
        <f t="shared" si="5"/>
        <v>0</v>
      </c>
      <c r="D75" s="769"/>
      <c r="E75" s="770"/>
      <c r="F75" s="771"/>
      <c r="H75" s="140">
        <f t="shared" ref="H75:H138" si="6">+C75-D75-E75-F75</f>
        <v>0</v>
      </c>
    </row>
    <row r="76" spans="1:8" s="140" customFormat="1">
      <c r="A76" s="127" t="s">
        <v>198</v>
      </c>
      <c r="B76" s="128" t="s">
        <v>248</v>
      </c>
      <c r="C76" s="134">
        <f t="shared" si="5"/>
        <v>2738772</v>
      </c>
      <c r="D76" s="769">
        <v>2738772</v>
      </c>
      <c r="E76" s="770"/>
      <c r="F76" s="771"/>
      <c r="H76" s="140">
        <f t="shared" si="6"/>
        <v>0</v>
      </c>
    </row>
    <row r="77" spans="1:8" s="140" customFormat="1">
      <c r="A77" s="127" t="s">
        <v>199</v>
      </c>
      <c r="B77" s="128" t="s">
        <v>249</v>
      </c>
      <c r="C77" s="134">
        <f t="shared" si="5"/>
        <v>0</v>
      </c>
      <c r="D77" s="769"/>
      <c r="E77" s="770"/>
      <c r="F77" s="771"/>
      <c r="H77" s="140">
        <f t="shared" si="6"/>
        <v>0</v>
      </c>
    </row>
    <row r="78" spans="1:8" s="140" customFormat="1">
      <c r="A78" s="127" t="s">
        <v>200</v>
      </c>
      <c r="B78" s="128" t="s">
        <v>250</v>
      </c>
      <c r="C78" s="134">
        <f t="shared" si="5"/>
        <v>0</v>
      </c>
      <c r="D78" s="769"/>
      <c r="E78" s="770"/>
      <c r="F78" s="771"/>
      <c r="H78" s="140">
        <f t="shared" si="6"/>
        <v>0</v>
      </c>
    </row>
    <row r="79" spans="1:8" s="140" customFormat="1">
      <c r="A79" s="127" t="s">
        <v>201</v>
      </c>
      <c r="B79" s="128" t="s">
        <v>251</v>
      </c>
      <c r="C79" s="134">
        <f t="shared" si="5"/>
        <v>0</v>
      </c>
      <c r="D79" s="769"/>
      <c r="E79" s="770"/>
      <c r="F79" s="771"/>
      <c r="H79" s="140">
        <f t="shared" si="6"/>
        <v>0</v>
      </c>
    </row>
    <row r="80" spans="1:8" s="140" customFormat="1">
      <c r="A80" s="127" t="s">
        <v>204</v>
      </c>
      <c r="B80" s="128" t="s">
        <v>252</v>
      </c>
      <c r="C80" s="134">
        <f t="shared" si="5"/>
        <v>0</v>
      </c>
      <c r="D80" s="769"/>
      <c r="E80" s="770"/>
      <c r="F80" s="771"/>
      <c r="H80" s="140">
        <f t="shared" si="6"/>
        <v>0</v>
      </c>
    </row>
    <row r="81" spans="1:8" s="140" customFormat="1">
      <c r="A81" s="127" t="s">
        <v>202</v>
      </c>
      <c r="B81" s="128" t="s">
        <v>245</v>
      </c>
      <c r="C81" s="134">
        <f t="shared" si="5"/>
        <v>0</v>
      </c>
      <c r="D81" s="769"/>
      <c r="E81" s="770"/>
      <c r="F81" s="771"/>
      <c r="H81" s="140">
        <f t="shared" si="6"/>
        <v>0</v>
      </c>
    </row>
    <row r="82" spans="1:8" s="140" customFormat="1">
      <c r="A82" s="127" t="s">
        <v>922</v>
      </c>
      <c r="B82" s="128" t="s">
        <v>923</v>
      </c>
      <c r="C82" s="134">
        <f>+D82+E82+F82</f>
        <v>0</v>
      </c>
      <c r="D82" s="769"/>
      <c r="E82" s="770"/>
      <c r="F82" s="771"/>
      <c r="H82" s="140">
        <f t="shared" si="6"/>
        <v>0</v>
      </c>
    </row>
    <row r="83" spans="1:8">
      <c r="A83" s="1126" t="s">
        <v>74</v>
      </c>
      <c r="B83" s="1127" t="s">
        <v>243</v>
      </c>
      <c r="C83" s="129">
        <f t="shared" si="5"/>
        <v>0</v>
      </c>
      <c r="D83" s="1094"/>
      <c r="E83" s="1095"/>
      <c r="F83" s="1096"/>
      <c r="H83" s="141">
        <f t="shared" si="6"/>
        <v>0</v>
      </c>
    </row>
    <row r="84" spans="1:8">
      <c r="A84" s="1128" t="s">
        <v>203</v>
      </c>
      <c r="B84" s="1129" t="s">
        <v>244</v>
      </c>
      <c r="C84" s="142">
        <f t="shared" si="5"/>
        <v>0</v>
      </c>
      <c r="D84" s="1097"/>
      <c r="E84" s="1098"/>
      <c r="F84" s="1099"/>
      <c r="H84" s="141">
        <f t="shared" si="6"/>
        <v>0</v>
      </c>
    </row>
    <row r="85" spans="1:8" ht="12.75" thickBot="1">
      <c r="A85" s="1128" t="s">
        <v>924</v>
      </c>
      <c r="B85" s="1129" t="s">
        <v>925</v>
      </c>
      <c r="C85" s="142">
        <f>+D85+E85+F85</f>
        <v>0</v>
      </c>
      <c r="D85" s="1097"/>
      <c r="E85" s="1098"/>
      <c r="F85" s="1099"/>
      <c r="H85" s="141">
        <f t="shared" si="6"/>
        <v>0</v>
      </c>
    </row>
    <row r="86" spans="1:8" s="143" customFormat="1" ht="12.75" thickBot="1">
      <c r="A86" s="1113" t="s">
        <v>45</v>
      </c>
      <c r="B86" s="1137" t="s">
        <v>305</v>
      </c>
      <c r="C86" s="130">
        <f>+C87</f>
        <v>9999</v>
      </c>
      <c r="D86" s="131">
        <f>+D87</f>
        <v>9999</v>
      </c>
      <c r="E86" s="132">
        <f>+E87</f>
        <v>0</v>
      </c>
      <c r="F86" s="133">
        <f>+F87</f>
        <v>0</v>
      </c>
      <c r="H86" s="143">
        <f t="shared" si="6"/>
        <v>0</v>
      </c>
    </row>
    <row r="87" spans="1:8" s="143" customFormat="1" ht="12.75" thickBot="1">
      <c r="A87" s="1113" t="s">
        <v>44</v>
      </c>
      <c r="B87" s="1121" t="s">
        <v>928</v>
      </c>
      <c r="C87" s="130">
        <f>+C88+C98+C99+C100</f>
        <v>9999</v>
      </c>
      <c r="D87" s="131">
        <f>+D88+D98+D99+D100</f>
        <v>9999</v>
      </c>
      <c r="E87" s="132">
        <f>+E88+E98+E99+E100</f>
        <v>0</v>
      </c>
      <c r="F87" s="133">
        <f>+F88+F98+F99+F100</f>
        <v>0</v>
      </c>
      <c r="H87" s="143">
        <f t="shared" si="6"/>
        <v>0</v>
      </c>
    </row>
    <row r="88" spans="1:8">
      <c r="A88" s="1122" t="s">
        <v>232</v>
      </c>
      <c r="B88" s="135" t="s">
        <v>983</v>
      </c>
      <c r="C88" s="136">
        <f>+C89+C90+C91+C92+C93+C94+C95+C96+C97</f>
        <v>9999</v>
      </c>
      <c r="D88" s="137">
        <f>+D89+D90+D91+D92+D93+D94+D95+D96+D97</f>
        <v>9999</v>
      </c>
      <c r="E88" s="138">
        <f>+E89+E90+E91+E92+E93+E94+E95+E96+E97</f>
        <v>0</v>
      </c>
      <c r="F88" s="139">
        <f>+F89+F90+F91+F92+F93+F94+F95+F96+F97</f>
        <v>0</v>
      </c>
      <c r="H88" s="141">
        <f t="shared" si="6"/>
        <v>0</v>
      </c>
    </row>
    <row r="89" spans="1:8" s="140" customFormat="1">
      <c r="A89" s="127" t="s">
        <v>233</v>
      </c>
      <c r="B89" s="128" t="s">
        <v>920</v>
      </c>
      <c r="C89" s="134">
        <f t="shared" ref="C89:C99" si="7">+D89+E89+F89</f>
        <v>9999</v>
      </c>
      <c r="D89" s="769">
        <v>9999</v>
      </c>
      <c r="E89" s="770"/>
      <c r="F89" s="771"/>
      <c r="H89" s="140">
        <f t="shared" si="6"/>
        <v>0</v>
      </c>
    </row>
    <row r="90" spans="1:8" s="140" customFormat="1">
      <c r="A90" s="127" t="s">
        <v>234</v>
      </c>
      <c r="B90" s="128" t="s">
        <v>247</v>
      </c>
      <c r="C90" s="134">
        <f t="shared" si="7"/>
        <v>0</v>
      </c>
      <c r="D90" s="769"/>
      <c r="E90" s="770"/>
      <c r="F90" s="771"/>
      <c r="H90" s="140">
        <f t="shared" si="6"/>
        <v>0</v>
      </c>
    </row>
    <row r="91" spans="1:8" s="140" customFormat="1">
      <c r="A91" s="127" t="s">
        <v>235</v>
      </c>
      <c r="B91" s="128" t="s">
        <v>248</v>
      </c>
      <c r="C91" s="134">
        <f t="shared" si="7"/>
        <v>0</v>
      </c>
      <c r="D91" s="769"/>
      <c r="E91" s="770"/>
      <c r="F91" s="771"/>
      <c r="H91" s="140">
        <f t="shared" si="6"/>
        <v>0</v>
      </c>
    </row>
    <row r="92" spans="1:8" s="140" customFormat="1">
      <c r="A92" s="127" t="s">
        <v>236</v>
      </c>
      <c r="B92" s="128" t="s">
        <v>249</v>
      </c>
      <c r="C92" s="134">
        <f t="shared" si="7"/>
        <v>0</v>
      </c>
      <c r="D92" s="769"/>
      <c r="E92" s="770"/>
      <c r="F92" s="771"/>
      <c r="H92" s="140">
        <f t="shared" si="6"/>
        <v>0</v>
      </c>
    </row>
    <row r="93" spans="1:8" s="140" customFormat="1">
      <c r="A93" s="127" t="s">
        <v>237</v>
      </c>
      <c r="B93" s="128" t="s">
        <v>250</v>
      </c>
      <c r="C93" s="134">
        <f t="shared" si="7"/>
        <v>0</v>
      </c>
      <c r="D93" s="769"/>
      <c r="E93" s="770"/>
      <c r="F93" s="771"/>
      <c r="H93" s="140">
        <f t="shared" si="6"/>
        <v>0</v>
      </c>
    </row>
    <row r="94" spans="1:8" s="140" customFormat="1">
      <c r="A94" s="127" t="s">
        <v>238</v>
      </c>
      <c r="B94" s="128" t="s">
        <v>251</v>
      </c>
      <c r="C94" s="134">
        <f t="shared" si="7"/>
        <v>0</v>
      </c>
      <c r="D94" s="769"/>
      <c r="E94" s="770"/>
      <c r="F94" s="771"/>
      <c r="H94" s="140">
        <f t="shared" si="6"/>
        <v>0</v>
      </c>
    </row>
    <row r="95" spans="1:8" s="140" customFormat="1">
      <c r="A95" s="127" t="s">
        <v>239</v>
      </c>
      <c r="B95" s="128" t="s">
        <v>252</v>
      </c>
      <c r="C95" s="134">
        <f t="shared" si="7"/>
        <v>0</v>
      </c>
      <c r="D95" s="769"/>
      <c r="E95" s="770"/>
      <c r="F95" s="771"/>
      <c r="H95" s="140">
        <f t="shared" si="6"/>
        <v>0</v>
      </c>
    </row>
    <row r="96" spans="1:8" s="140" customFormat="1">
      <c r="A96" s="127" t="s">
        <v>240</v>
      </c>
      <c r="B96" s="128" t="s">
        <v>245</v>
      </c>
      <c r="C96" s="134">
        <f t="shared" si="7"/>
        <v>0</v>
      </c>
      <c r="D96" s="769"/>
      <c r="E96" s="770"/>
      <c r="F96" s="771"/>
      <c r="H96" s="140">
        <f t="shared" si="6"/>
        <v>0</v>
      </c>
    </row>
    <row r="97" spans="1:8" s="140" customFormat="1">
      <c r="A97" s="127" t="s">
        <v>927</v>
      </c>
      <c r="B97" s="128" t="s">
        <v>923</v>
      </c>
      <c r="C97" s="134">
        <f>+D97+E97+F97</f>
        <v>0</v>
      </c>
      <c r="D97" s="769"/>
      <c r="E97" s="770"/>
      <c r="F97" s="771"/>
      <c r="H97" s="140">
        <f t="shared" si="6"/>
        <v>0</v>
      </c>
    </row>
    <row r="98" spans="1:8">
      <c r="A98" s="1126" t="s">
        <v>241</v>
      </c>
      <c r="B98" s="1127" t="s">
        <v>243</v>
      </c>
      <c r="C98" s="129">
        <f t="shared" si="7"/>
        <v>0</v>
      </c>
      <c r="D98" s="1094"/>
      <c r="E98" s="1095"/>
      <c r="F98" s="1096"/>
      <c r="H98" s="141">
        <f t="shared" si="6"/>
        <v>0</v>
      </c>
    </row>
    <row r="99" spans="1:8">
      <c r="A99" s="1128" t="s">
        <v>242</v>
      </c>
      <c r="B99" s="1129" t="s">
        <v>244</v>
      </c>
      <c r="C99" s="142">
        <f t="shared" si="7"/>
        <v>0</v>
      </c>
      <c r="D99" s="1097"/>
      <c r="E99" s="1098"/>
      <c r="F99" s="1099"/>
      <c r="H99" s="141">
        <f t="shared" si="6"/>
        <v>0</v>
      </c>
    </row>
    <row r="100" spans="1:8" ht="12.75" thickBot="1">
      <c r="A100" s="1128" t="s">
        <v>929</v>
      </c>
      <c r="B100" s="1129" t="s">
        <v>925</v>
      </c>
      <c r="C100" s="142">
        <f>+D100+E100+F100</f>
        <v>0</v>
      </c>
      <c r="D100" s="1097"/>
      <c r="E100" s="1098"/>
      <c r="F100" s="1099"/>
      <c r="H100" s="141">
        <f t="shared" si="6"/>
        <v>0</v>
      </c>
    </row>
    <row r="101" spans="1:8" s="143" customFormat="1" ht="12.75" thickBot="1">
      <c r="A101" s="1113" t="s">
        <v>43</v>
      </c>
      <c r="B101" s="1136" t="s">
        <v>306</v>
      </c>
      <c r="C101" s="130">
        <f>+C71+C86</f>
        <v>2748771</v>
      </c>
      <c r="D101" s="131">
        <f>+D71+D86</f>
        <v>2748771</v>
      </c>
      <c r="E101" s="132">
        <f>+E71+E86</f>
        <v>0</v>
      </c>
      <c r="F101" s="133">
        <f>+F71+F86</f>
        <v>0</v>
      </c>
      <c r="H101" s="143">
        <f t="shared" si="6"/>
        <v>0</v>
      </c>
    </row>
    <row r="102" spans="1:8" s="143" customFormat="1" ht="12.75" thickBot="1">
      <c r="A102" s="1138" t="s">
        <v>40</v>
      </c>
      <c r="B102" s="1139" t="s">
        <v>307</v>
      </c>
      <c r="C102" s="1140">
        <f>+C70+C101</f>
        <v>4548513</v>
      </c>
      <c r="D102" s="1141">
        <f>+D70+D101</f>
        <v>4197013</v>
      </c>
      <c r="E102" s="1142">
        <f>+E70+E101</f>
        <v>351500</v>
      </c>
      <c r="F102" s="1143">
        <f>+F70+F101</f>
        <v>0</v>
      </c>
      <c r="H102" s="143">
        <f t="shared" si="6"/>
        <v>0</v>
      </c>
    </row>
    <row r="103" spans="1:8" s="143" customFormat="1">
      <c r="A103" s="1144"/>
      <c r="B103" s="1145"/>
      <c r="C103" s="1145"/>
      <c r="D103" s="1145"/>
      <c r="E103" s="1145"/>
      <c r="F103" s="1145"/>
    </row>
    <row r="104" spans="1:8" s="143" customFormat="1">
      <c r="A104" s="1144"/>
      <c r="B104" s="1145"/>
      <c r="C104" s="1145"/>
      <c r="D104" s="1145"/>
      <c r="E104" s="1145"/>
      <c r="F104" s="1145"/>
    </row>
    <row r="105" spans="1:8" s="1102" customFormat="1" ht="15.75">
      <c r="A105" s="1441" t="s">
        <v>80</v>
      </c>
      <c r="B105" s="1441"/>
      <c r="C105" s="1441"/>
      <c r="D105" s="1441"/>
      <c r="E105" s="1441"/>
      <c r="F105" s="1441"/>
    </row>
    <row r="106" spans="1:8" s="1104" customFormat="1" ht="12.75" thickBot="1">
      <c r="A106" s="1103" t="s">
        <v>279</v>
      </c>
      <c r="F106" s="1105" t="s">
        <v>281</v>
      </c>
    </row>
    <row r="107" spans="1:8" s="143" customFormat="1" ht="48.75" thickBot="1">
      <c r="A107" s="1106" t="s">
        <v>17</v>
      </c>
      <c r="B107" s="1146" t="s">
        <v>329</v>
      </c>
      <c r="C107" s="1147" t="s">
        <v>1317</v>
      </c>
      <c r="D107" s="1109" t="s">
        <v>51</v>
      </c>
      <c r="E107" s="1110" t="s">
        <v>52</v>
      </c>
      <c r="F107" s="1111" t="s">
        <v>53</v>
      </c>
    </row>
    <row r="108" spans="1:8" s="143" customFormat="1" ht="12.75" thickBot="1">
      <c r="A108" s="1148" t="s">
        <v>253</v>
      </c>
      <c r="B108" s="1149" t="s">
        <v>254</v>
      </c>
      <c r="C108" s="1445" t="s">
        <v>255</v>
      </c>
      <c r="D108" s="1446"/>
      <c r="E108" s="1446"/>
      <c r="F108" s="1447"/>
    </row>
    <row r="109" spans="1:8" s="143" customFormat="1" ht="12.75" thickBot="1">
      <c r="A109" s="1113" t="s">
        <v>4</v>
      </c>
      <c r="B109" s="1136" t="s">
        <v>308</v>
      </c>
      <c r="C109" s="130">
        <f>+C110+C114+C116+C123+C132</f>
        <v>3194324</v>
      </c>
      <c r="D109" s="131">
        <f>+D110+D114+D116+D123+D132</f>
        <v>3186086</v>
      </c>
      <c r="E109" s="132">
        <f>+E110+E114+E116+E123+E132</f>
        <v>8238</v>
      </c>
      <c r="F109" s="133">
        <f>+F110+F114+F116+F123+F132</f>
        <v>0</v>
      </c>
      <c r="H109" s="143">
        <f t="shared" si="6"/>
        <v>0</v>
      </c>
    </row>
    <row r="110" spans="1:8" s="143" customFormat="1" ht="12.75" thickBot="1">
      <c r="A110" s="1113" t="s">
        <v>5</v>
      </c>
      <c r="B110" s="1121" t="s">
        <v>309</v>
      </c>
      <c r="C110" s="130">
        <f>+C112+C113</f>
        <v>59779</v>
      </c>
      <c r="D110" s="131">
        <f>+D112+D113</f>
        <v>59779</v>
      </c>
      <c r="E110" s="132">
        <f>+E112+E113</f>
        <v>0</v>
      </c>
      <c r="F110" s="133">
        <f>+F112+F113</f>
        <v>0</v>
      </c>
      <c r="H110" s="143">
        <f t="shared" si="6"/>
        <v>0</v>
      </c>
    </row>
    <row r="111" spans="1:8" s="1104" customFormat="1">
      <c r="A111" s="1150" t="s">
        <v>349</v>
      </c>
      <c r="B111" s="1151" t="s">
        <v>350</v>
      </c>
      <c r="C111" s="1152">
        <f>+D111+E111+F111</f>
        <v>0</v>
      </c>
      <c r="D111" s="1153"/>
      <c r="E111" s="1154"/>
      <c r="F111" s="1155"/>
      <c r="H111" s="1104">
        <f t="shared" si="6"/>
        <v>0</v>
      </c>
    </row>
    <row r="112" spans="1:8">
      <c r="A112" s="1122" t="s">
        <v>54</v>
      </c>
      <c r="B112" s="135" t="s">
        <v>127</v>
      </c>
      <c r="C112" s="136">
        <f>+D112+E112+F112</f>
        <v>26229</v>
      </c>
      <c r="D112" s="137">
        <v>26229</v>
      </c>
      <c r="E112" s="138"/>
      <c r="F112" s="139"/>
      <c r="H112" s="141">
        <f t="shared" si="6"/>
        <v>0</v>
      </c>
    </row>
    <row r="113" spans="1:8" ht="12.75" thickBot="1">
      <c r="A113" s="1128" t="s">
        <v>55</v>
      </c>
      <c r="B113" s="1129" t="s">
        <v>128</v>
      </c>
      <c r="C113" s="142">
        <f>+D113+E113+F113</f>
        <v>33550</v>
      </c>
      <c r="D113" s="1097">
        <v>33550</v>
      </c>
      <c r="E113" s="1098"/>
      <c r="F113" s="1099"/>
      <c r="H113" s="141">
        <f t="shared" si="6"/>
        <v>0</v>
      </c>
    </row>
    <row r="114" spans="1:8" s="143" customFormat="1" ht="12.75" thickBot="1">
      <c r="A114" s="1113" t="s">
        <v>6</v>
      </c>
      <c r="B114" s="1121" t="s">
        <v>256</v>
      </c>
      <c r="C114" s="130">
        <f>+D114+E114+F114</f>
        <v>8859</v>
      </c>
      <c r="D114" s="131">
        <v>8859</v>
      </c>
      <c r="E114" s="132"/>
      <c r="F114" s="133"/>
      <c r="H114" s="143">
        <f t="shared" si="6"/>
        <v>0</v>
      </c>
    </row>
    <row r="115" spans="1:8" s="1104" customFormat="1" ht="12.75" thickBot="1">
      <c r="A115" s="1150" t="s">
        <v>346</v>
      </c>
      <c r="B115" s="1151" t="s">
        <v>347</v>
      </c>
      <c r="C115" s="1152">
        <f>+D115+E115+F115</f>
        <v>0</v>
      </c>
      <c r="D115" s="1153"/>
      <c r="E115" s="1154"/>
      <c r="F115" s="1155"/>
      <c r="H115" s="1104">
        <f t="shared" si="6"/>
        <v>0</v>
      </c>
    </row>
    <row r="116" spans="1:8" s="143" customFormat="1" ht="12.75" thickBot="1">
      <c r="A116" s="1113" t="s">
        <v>3</v>
      </c>
      <c r="B116" s="1121" t="s">
        <v>343</v>
      </c>
      <c r="C116" s="130">
        <f>+C118+C119+C120+C121+C122</f>
        <v>197031</v>
      </c>
      <c r="D116" s="131">
        <f>+D118+D119+D120+D121+D122</f>
        <v>195031</v>
      </c>
      <c r="E116" s="132">
        <f>+E118+E119+E120+E121+E122</f>
        <v>2000</v>
      </c>
      <c r="F116" s="133">
        <f>+F118+F119+F120+F121+F122</f>
        <v>0</v>
      </c>
      <c r="H116" s="143">
        <f t="shared" si="6"/>
        <v>0</v>
      </c>
    </row>
    <row r="117" spans="1:8" s="1104" customFormat="1">
      <c r="A117" s="1150" t="s">
        <v>341</v>
      </c>
      <c r="B117" s="1151" t="s">
        <v>348</v>
      </c>
      <c r="C117" s="1152">
        <f t="shared" ref="C117:C122" si="8">+D117+E117+F117</f>
        <v>0</v>
      </c>
      <c r="D117" s="1153"/>
      <c r="E117" s="1154"/>
      <c r="F117" s="1155"/>
      <c r="H117" s="1104">
        <f t="shared" si="6"/>
        <v>0</v>
      </c>
    </row>
    <row r="118" spans="1:8">
      <c r="A118" s="1122" t="s">
        <v>61</v>
      </c>
      <c r="B118" s="135" t="s">
        <v>129</v>
      </c>
      <c r="C118" s="136">
        <f t="shared" si="8"/>
        <v>5749</v>
      </c>
      <c r="D118" s="137">
        <v>5749</v>
      </c>
      <c r="E118" s="138"/>
      <c r="F118" s="139"/>
      <c r="H118" s="141">
        <f t="shared" si="6"/>
        <v>0</v>
      </c>
    </row>
    <row r="119" spans="1:8">
      <c r="A119" s="1126" t="s">
        <v>62</v>
      </c>
      <c r="B119" s="1127" t="s">
        <v>130</v>
      </c>
      <c r="C119" s="129">
        <f t="shared" si="8"/>
        <v>13992</v>
      </c>
      <c r="D119" s="1094">
        <v>13992</v>
      </c>
      <c r="E119" s="1095"/>
      <c r="F119" s="1096"/>
      <c r="H119" s="141">
        <f t="shared" si="6"/>
        <v>0</v>
      </c>
    </row>
    <row r="120" spans="1:8">
      <c r="A120" s="1126" t="s">
        <v>63</v>
      </c>
      <c r="B120" s="1127" t="s">
        <v>131</v>
      </c>
      <c r="C120" s="129">
        <f t="shared" si="8"/>
        <v>121816</v>
      </c>
      <c r="D120" s="1094">
        <v>120242</v>
      </c>
      <c r="E120" s="1095">
        <v>1574</v>
      </c>
      <c r="F120" s="1096"/>
      <c r="H120" s="141">
        <f t="shared" si="6"/>
        <v>0</v>
      </c>
    </row>
    <row r="121" spans="1:8">
      <c r="A121" s="1126" t="s">
        <v>64</v>
      </c>
      <c r="B121" s="1127" t="s">
        <v>132</v>
      </c>
      <c r="C121" s="129">
        <f t="shared" si="8"/>
        <v>0</v>
      </c>
      <c r="D121" s="1094"/>
      <c r="E121" s="1095"/>
      <c r="F121" s="1096"/>
      <c r="H121" s="141">
        <f t="shared" si="6"/>
        <v>0</v>
      </c>
    </row>
    <row r="122" spans="1:8" ht="12.75" thickBot="1">
      <c r="A122" s="1128" t="s">
        <v>65</v>
      </c>
      <c r="B122" s="1129" t="s">
        <v>133</v>
      </c>
      <c r="C122" s="142">
        <f t="shared" si="8"/>
        <v>55474</v>
      </c>
      <c r="D122" s="1097">
        <v>55048</v>
      </c>
      <c r="E122" s="1098">
        <v>426</v>
      </c>
      <c r="F122" s="1099"/>
      <c r="H122" s="141">
        <f t="shared" si="6"/>
        <v>0</v>
      </c>
    </row>
    <row r="123" spans="1:8" s="143" customFormat="1" ht="12.75" thickBot="1">
      <c r="A123" s="1113" t="s">
        <v>16</v>
      </c>
      <c r="B123" s="1121" t="s">
        <v>310</v>
      </c>
      <c r="C123" s="130">
        <f>+C124+C125+C126+C127+C128+C129+C130+C131</f>
        <v>57543</v>
      </c>
      <c r="D123" s="131">
        <f>+D124+D125+D126+D127+D128+D129+D130+D131</f>
        <v>52505</v>
      </c>
      <c r="E123" s="132">
        <f>+E124+E125+E126+E127+E128+E129+E130+E131</f>
        <v>5038</v>
      </c>
      <c r="F123" s="133">
        <f>+F124+F125+F126+F127+F128+F129+F130+F131</f>
        <v>0</v>
      </c>
      <c r="H123" s="143">
        <f t="shared" si="6"/>
        <v>0</v>
      </c>
    </row>
    <row r="124" spans="1:8">
      <c r="A124" s="1122" t="s">
        <v>227</v>
      </c>
      <c r="B124" s="135" t="s">
        <v>134</v>
      </c>
      <c r="C124" s="136">
        <f t="shared" ref="C124:C131" si="9">+D124+E124+F124</f>
        <v>0</v>
      </c>
      <c r="D124" s="137"/>
      <c r="E124" s="138"/>
      <c r="F124" s="139"/>
      <c r="H124" s="141">
        <f t="shared" si="6"/>
        <v>0</v>
      </c>
    </row>
    <row r="125" spans="1:8">
      <c r="A125" s="1126" t="s">
        <v>228</v>
      </c>
      <c r="B125" s="1127" t="s">
        <v>135</v>
      </c>
      <c r="C125" s="129">
        <f t="shared" si="9"/>
        <v>0</v>
      </c>
      <c r="D125" s="1094"/>
      <c r="E125" s="1095"/>
      <c r="F125" s="1096"/>
      <c r="H125" s="141">
        <f t="shared" si="6"/>
        <v>0</v>
      </c>
    </row>
    <row r="126" spans="1:8">
      <c r="A126" s="1126" t="s">
        <v>229</v>
      </c>
      <c r="B126" s="1127" t="s">
        <v>136</v>
      </c>
      <c r="C126" s="129">
        <f t="shared" si="9"/>
        <v>0</v>
      </c>
      <c r="D126" s="1094"/>
      <c r="E126" s="1095"/>
      <c r="F126" s="1096"/>
      <c r="H126" s="141">
        <f t="shared" si="6"/>
        <v>0</v>
      </c>
    </row>
    <row r="127" spans="1:8">
      <c r="A127" s="1126" t="s">
        <v>257</v>
      </c>
      <c r="B127" s="1127" t="s">
        <v>137</v>
      </c>
      <c r="C127" s="129">
        <f t="shared" si="9"/>
        <v>2400</v>
      </c>
      <c r="D127" s="1094">
        <v>2400</v>
      </c>
      <c r="E127" s="1095"/>
      <c r="F127" s="1096"/>
      <c r="H127" s="141">
        <f t="shared" si="6"/>
        <v>0</v>
      </c>
    </row>
    <row r="128" spans="1:8">
      <c r="A128" s="1126" t="s">
        <v>258</v>
      </c>
      <c r="B128" s="1127" t="s">
        <v>138</v>
      </c>
      <c r="C128" s="129">
        <f t="shared" si="9"/>
        <v>0</v>
      </c>
      <c r="D128" s="1094"/>
      <c r="E128" s="1095"/>
      <c r="F128" s="1096"/>
      <c r="H128" s="141">
        <f t="shared" si="6"/>
        <v>0</v>
      </c>
    </row>
    <row r="129" spans="1:8">
      <c r="A129" s="1126" t="s">
        <v>259</v>
      </c>
      <c r="B129" s="1127" t="s">
        <v>139</v>
      </c>
      <c r="C129" s="129">
        <f t="shared" si="9"/>
        <v>19800</v>
      </c>
      <c r="D129" s="1094">
        <v>19800</v>
      </c>
      <c r="E129" s="1095"/>
      <c r="F129" s="1096"/>
      <c r="H129" s="141">
        <f t="shared" si="6"/>
        <v>0</v>
      </c>
    </row>
    <row r="130" spans="1:8">
      <c r="A130" s="1126" t="s">
        <v>260</v>
      </c>
      <c r="B130" s="1127" t="s">
        <v>140</v>
      </c>
      <c r="C130" s="129">
        <f t="shared" si="9"/>
        <v>13143</v>
      </c>
      <c r="D130" s="1094">
        <v>8105</v>
      </c>
      <c r="E130" s="1095">
        <v>5038</v>
      </c>
      <c r="F130" s="1096"/>
      <c r="H130" s="141">
        <f t="shared" si="6"/>
        <v>0</v>
      </c>
    </row>
    <row r="131" spans="1:8" ht="12.75" thickBot="1">
      <c r="A131" s="1128" t="s">
        <v>261</v>
      </c>
      <c r="B131" s="1129" t="s">
        <v>141</v>
      </c>
      <c r="C131" s="142">
        <f t="shared" si="9"/>
        <v>22200</v>
      </c>
      <c r="D131" s="1097">
        <v>22200</v>
      </c>
      <c r="E131" s="1098"/>
      <c r="F131" s="1099"/>
      <c r="H131" s="141">
        <f t="shared" si="6"/>
        <v>0</v>
      </c>
    </row>
    <row r="132" spans="1:8" s="143" customFormat="1" ht="12.75" thickBot="1">
      <c r="A132" s="1113" t="s">
        <v>15</v>
      </c>
      <c r="B132" s="1121" t="s">
        <v>933</v>
      </c>
      <c r="C132" s="130">
        <f>+C133+C134+C135+C136+C137+C138+C144+C140+C141+C142+C143+C145+C146</f>
        <v>2871112</v>
      </c>
      <c r="D132" s="131">
        <f>+D133+D134+D135+D136+D137+D138+D144+D140+D141+D142+D143+D145+D146</f>
        <v>2869912</v>
      </c>
      <c r="E132" s="132">
        <f>+E133+E134+E135+E136+E137+E138+E144+E140+E141+E142+E143+E145+E146</f>
        <v>1200</v>
      </c>
      <c r="F132" s="133">
        <f>+F133+F134+F135+F136+F137+F138+F144+F140+F141+F142+F143+F145+F146</f>
        <v>0</v>
      </c>
      <c r="H132" s="143">
        <f t="shared" si="6"/>
        <v>0</v>
      </c>
    </row>
    <row r="133" spans="1:8">
      <c r="A133" s="1122" t="s">
        <v>87</v>
      </c>
      <c r="B133" s="135" t="s">
        <v>142</v>
      </c>
      <c r="C133" s="136">
        <f t="shared" ref="C133:C145" si="10">+D133+E133+F133</f>
        <v>0</v>
      </c>
      <c r="D133" s="137"/>
      <c r="E133" s="138"/>
      <c r="F133" s="139"/>
      <c r="H133" s="141">
        <f t="shared" si="6"/>
        <v>0</v>
      </c>
    </row>
    <row r="134" spans="1:8">
      <c r="A134" s="1126" t="s">
        <v>88</v>
      </c>
      <c r="B134" s="1127" t="s">
        <v>143</v>
      </c>
      <c r="C134" s="129">
        <f t="shared" si="10"/>
        <v>13076</v>
      </c>
      <c r="D134" s="1094">
        <v>13076</v>
      </c>
      <c r="E134" s="1095"/>
      <c r="F134" s="1096"/>
      <c r="H134" s="141">
        <f t="shared" si="6"/>
        <v>0</v>
      </c>
    </row>
    <row r="135" spans="1:8">
      <c r="A135" s="1126" t="s">
        <v>182</v>
      </c>
      <c r="B135" s="1127" t="s">
        <v>144</v>
      </c>
      <c r="C135" s="129">
        <f t="shared" si="10"/>
        <v>0</v>
      </c>
      <c r="D135" s="1094"/>
      <c r="E135" s="1095"/>
      <c r="F135" s="1096"/>
      <c r="H135" s="141">
        <f t="shared" si="6"/>
        <v>0</v>
      </c>
    </row>
    <row r="136" spans="1:8">
      <c r="A136" s="1126" t="s">
        <v>183</v>
      </c>
      <c r="B136" s="1127" t="s">
        <v>145</v>
      </c>
      <c r="C136" s="129">
        <f t="shared" si="10"/>
        <v>0</v>
      </c>
      <c r="D136" s="1094"/>
      <c r="E136" s="1095"/>
      <c r="F136" s="1096"/>
      <c r="H136" s="141">
        <f t="shared" si="6"/>
        <v>0</v>
      </c>
    </row>
    <row r="137" spans="1:8">
      <c r="A137" s="1126" t="s">
        <v>184</v>
      </c>
      <c r="B137" s="1127" t="s">
        <v>146</v>
      </c>
      <c r="C137" s="129">
        <f t="shared" si="10"/>
        <v>0</v>
      </c>
      <c r="D137" s="1094"/>
      <c r="E137" s="1095"/>
      <c r="F137" s="1096"/>
      <c r="H137" s="141">
        <f t="shared" si="6"/>
        <v>0</v>
      </c>
    </row>
    <row r="138" spans="1:8">
      <c r="A138" s="1126" t="s">
        <v>262</v>
      </c>
      <c r="B138" s="1127" t="s">
        <v>147</v>
      </c>
      <c r="C138" s="129">
        <f t="shared" si="10"/>
        <v>9203</v>
      </c>
      <c r="D138" s="1094">
        <v>9203</v>
      </c>
      <c r="E138" s="1095"/>
      <c r="F138" s="1096"/>
      <c r="H138" s="141">
        <f t="shared" si="6"/>
        <v>0</v>
      </c>
    </row>
    <row r="139" spans="1:8" s="140" customFormat="1">
      <c r="A139" s="1130" t="s">
        <v>336</v>
      </c>
      <c r="B139" s="1131" t="s">
        <v>939</v>
      </c>
      <c r="C139" s="1132">
        <f t="shared" si="10"/>
        <v>0</v>
      </c>
      <c r="D139" s="1133"/>
      <c r="E139" s="1134"/>
      <c r="F139" s="1135"/>
      <c r="H139" s="140">
        <f t="shared" ref="H139:H202" si="11">+C139-D139-E139-F139</f>
        <v>0</v>
      </c>
    </row>
    <row r="140" spans="1:8">
      <c r="A140" s="1126" t="s">
        <v>263</v>
      </c>
      <c r="B140" s="1127" t="s">
        <v>148</v>
      </c>
      <c r="C140" s="129">
        <f t="shared" si="10"/>
        <v>0</v>
      </c>
      <c r="D140" s="1094"/>
      <c r="E140" s="1095"/>
      <c r="F140" s="1096"/>
      <c r="H140" s="141">
        <f t="shared" si="11"/>
        <v>0</v>
      </c>
    </row>
    <row r="141" spans="1:8">
      <c r="A141" s="1126" t="s">
        <v>264</v>
      </c>
      <c r="B141" s="1127" t="s">
        <v>149</v>
      </c>
      <c r="C141" s="129">
        <f t="shared" si="10"/>
        <v>4000</v>
      </c>
      <c r="D141" s="1094">
        <v>4000</v>
      </c>
      <c r="E141" s="1095"/>
      <c r="F141" s="1096"/>
      <c r="H141" s="141">
        <f t="shared" si="11"/>
        <v>0</v>
      </c>
    </row>
    <row r="142" spans="1:8">
      <c r="A142" s="1126" t="s">
        <v>265</v>
      </c>
      <c r="B142" s="1127" t="s">
        <v>150</v>
      </c>
      <c r="C142" s="129">
        <f t="shared" si="10"/>
        <v>0</v>
      </c>
      <c r="D142" s="1094"/>
      <c r="E142" s="1095"/>
      <c r="F142" s="1096"/>
      <c r="H142" s="141">
        <f t="shared" si="11"/>
        <v>0</v>
      </c>
    </row>
    <row r="143" spans="1:8">
      <c r="A143" s="1126" t="s">
        <v>266</v>
      </c>
      <c r="B143" s="1127" t="s">
        <v>151</v>
      </c>
      <c r="C143" s="129">
        <f t="shared" si="10"/>
        <v>0</v>
      </c>
      <c r="D143" s="1094"/>
      <c r="E143" s="1095"/>
      <c r="F143" s="1096"/>
      <c r="H143" s="141">
        <f t="shared" si="11"/>
        <v>0</v>
      </c>
    </row>
    <row r="144" spans="1:8">
      <c r="A144" s="1126" t="s">
        <v>267</v>
      </c>
      <c r="B144" s="1127" t="s">
        <v>934</v>
      </c>
      <c r="C144" s="129">
        <f>+D144+E144+F144</f>
        <v>0</v>
      </c>
      <c r="D144" s="1094"/>
      <c r="E144" s="1095"/>
      <c r="F144" s="1096"/>
      <c r="H144" s="141">
        <f t="shared" si="11"/>
        <v>0</v>
      </c>
    </row>
    <row r="145" spans="1:8">
      <c r="A145" s="1126" t="s">
        <v>268</v>
      </c>
      <c r="B145" s="1127" t="s">
        <v>935</v>
      </c>
      <c r="C145" s="129">
        <f t="shared" si="10"/>
        <v>50700</v>
      </c>
      <c r="D145" s="1094">
        <v>49500</v>
      </c>
      <c r="E145" s="1095">
        <v>1200</v>
      </c>
      <c r="F145" s="1096"/>
      <c r="H145" s="141">
        <f t="shared" si="11"/>
        <v>0</v>
      </c>
    </row>
    <row r="146" spans="1:8">
      <c r="A146" s="1128" t="s">
        <v>930</v>
      </c>
      <c r="B146" s="1129" t="s">
        <v>936</v>
      </c>
      <c r="C146" s="142">
        <f>+C147+C148</f>
        <v>2794133</v>
      </c>
      <c r="D146" s="1097">
        <f>+D147+D148</f>
        <v>2794133</v>
      </c>
      <c r="E146" s="1098">
        <f>+E147+E148</f>
        <v>0</v>
      </c>
      <c r="F146" s="1099">
        <f>+F147+F148</f>
        <v>0</v>
      </c>
      <c r="H146" s="141">
        <f t="shared" si="11"/>
        <v>0</v>
      </c>
    </row>
    <row r="147" spans="1:8" s="140" customFormat="1">
      <c r="A147" s="1130" t="s">
        <v>931</v>
      </c>
      <c r="B147" s="1156" t="s">
        <v>937</v>
      </c>
      <c r="C147" s="1132">
        <f>+D147+E147+F147</f>
        <v>10000</v>
      </c>
      <c r="D147" s="1133">
        <v>10000</v>
      </c>
      <c r="E147" s="1134"/>
      <c r="F147" s="1135"/>
      <c r="H147" s="140">
        <f t="shared" si="11"/>
        <v>0</v>
      </c>
    </row>
    <row r="148" spans="1:8" s="140" customFormat="1" ht="12.75" thickBot="1">
      <c r="A148" s="1130" t="s">
        <v>932</v>
      </c>
      <c r="B148" s="1156" t="s">
        <v>938</v>
      </c>
      <c r="C148" s="1132">
        <f>+D148+E148+F148</f>
        <v>2784133</v>
      </c>
      <c r="D148" s="1133">
        <v>2784133</v>
      </c>
      <c r="E148" s="1134"/>
      <c r="F148" s="1135"/>
      <c r="H148" s="140">
        <f t="shared" si="11"/>
        <v>0</v>
      </c>
    </row>
    <row r="149" spans="1:8" s="143" customFormat="1" ht="12.75" thickBot="1">
      <c r="A149" s="1113" t="s">
        <v>14</v>
      </c>
      <c r="B149" s="1136" t="s">
        <v>311</v>
      </c>
      <c r="C149" s="130">
        <f>+C150+C159+C165</f>
        <v>472823</v>
      </c>
      <c r="D149" s="131">
        <f>+D150+D159+D165</f>
        <v>122823</v>
      </c>
      <c r="E149" s="132">
        <f>+E150+E159+E165</f>
        <v>350000</v>
      </c>
      <c r="F149" s="133">
        <f>+F150+F159+F165</f>
        <v>0</v>
      </c>
      <c r="H149" s="143">
        <f t="shared" si="11"/>
        <v>0</v>
      </c>
    </row>
    <row r="150" spans="1:8" s="143" customFormat="1" ht="12.75" thickBot="1">
      <c r="A150" s="1113" t="s">
        <v>13</v>
      </c>
      <c r="B150" s="1121" t="s">
        <v>312</v>
      </c>
      <c r="C150" s="130">
        <f>+C152+C153+C154+C155+C156+C157+C158</f>
        <v>453147</v>
      </c>
      <c r="D150" s="131">
        <f>+D152+D153+D154+D155+D156+D157+D158</f>
        <v>103147</v>
      </c>
      <c r="E150" s="132">
        <f>+E152+E153+E154+E155+E156+E157+E158</f>
        <v>350000</v>
      </c>
      <c r="F150" s="133">
        <f>+F152+F153+F154+F155+F156+F157+F158</f>
        <v>0</v>
      </c>
      <c r="H150" s="143">
        <f t="shared" si="11"/>
        <v>0</v>
      </c>
    </row>
    <row r="151" spans="1:8" s="1104" customFormat="1">
      <c r="A151" s="1150" t="s">
        <v>940</v>
      </c>
      <c r="B151" s="1151" t="s">
        <v>342</v>
      </c>
      <c r="C151" s="1152">
        <f t="shared" ref="C151:C158" si="12">+D151+E151+F151</f>
        <v>0</v>
      </c>
      <c r="D151" s="1153"/>
      <c r="E151" s="1154"/>
      <c r="F151" s="1155"/>
      <c r="H151" s="1104">
        <f t="shared" si="11"/>
        <v>0</v>
      </c>
    </row>
    <row r="152" spans="1:8">
      <c r="A152" s="1122" t="s">
        <v>66</v>
      </c>
      <c r="B152" s="135" t="s">
        <v>152</v>
      </c>
      <c r="C152" s="136">
        <f t="shared" si="12"/>
        <v>7874</v>
      </c>
      <c r="D152" s="137">
        <v>7874</v>
      </c>
      <c r="E152" s="138"/>
      <c r="F152" s="139"/>
      <c r="H152" s="141">
        <f t="shared" si="11"/>
        <v>0</v>
      </c>
    </row>
    <row r="153" spans="1:8">
      <c r="A153" s="1126" t="s">
        <v>67</v>
      </c>
      <c r="B153" s="1127" t="s">
        <v>153</v>
      </c>
      <c r="C153" s="129">
        <f t="shared" si="12"/>
        <v>429715</v>
      </c>
      <c r="D153" s="1094">
        <v>79715</v>
      </c>
      <c r="E153" s="1095">
        <v>350000</v>
      </c>
      <c r="F153" s="1096"/>
      <c r="H153" s="141">
        <f t="shared" si="11"/>
        <v>0</v>
      </c>
    </row>
    <row r="154" spans="1:8">
      <c r="A154" s="1126" t="s">
        <v>68</v>
      </c>
      <c r="B154" s="1127" t="s">
        <v>154</v>
      </c>
      <c r="C154" s="129">
        <f t="shared" si="12"/>
        <v>1134</v>
      </c>
      <c r="D154" s="1094">
        <v>1134</v>
      </c>
      <c r="E154" s="1095"/>
      <c r="F154" s="1096"/>
      <c r="H154" s="141">
        <f t="shared" si="11"/>
        <v>0</v>
      </c>
    </row>
    <row r="155" spans="1:8">
      <c r="A155" s="1126" t="s">
        <v>230</v>
      </c>
      <c r="B155" s="1127" t="s">
        <v>155</v>
      </c>
      <c r="C155" s="129">
        <f t="shared" si="12"/>
        <v>1575</v>
      </c>
      <c r="D155" s="1094">
        <v>1575</v>
      </c>
      <c r="E155" s="1095"/>
      <c r="F155" s="1096"/>
      <c r="H155" s="141">
        <f t="shared" si="11"/>
        <v>0</v>
      </c>
    </row>
    <row r="156" spans="1:8">
      <c r="A156" s="1126" t="s">
        <v>231</v>
      </c>
      <c r="B156" s="1127" t="s">
        <v>156</v>
      </c>
      <c r="C156" s="129">
        <f t="shared" si="12"/>
        <v>0</v>
      </c>
      <c r="D156" s="1094"/>
      <c r="E156" s="1095"/>
      <c r="F156" s="1096"/>
      <c r="H156" s="141">
        <f t="shared" si="11"/>
        <v>0</v>
      </c>
    </row>
    <row r="157" spans="1:8">
      <c r="A157" s="1126" t="s">
        <v>269</v>
      </c>
      <c r="B157" s="1127" t="s">
        <v>157</v>
      </c>
      <c r="C157" s="129">
        <f t="shared" si="12"/>
        <v>0</v>
      </c>
      <c r="D157" s="1094"/>
      <c r="E157" s="1095"/>
      <c r="F157" s="1096"/>
      <c r="H157" s="141">
        <f t="shared" si="11"/>
        <v>0</v>
      </c>
    </row>
    <row r="158" spans="1:8" ht="12.75" thickBot="1">
      <c r="A158" s="1128" t="s">
        <v>270</v>
      </c>
      <c r="B158" s="1129" t="s">
        <v>158</v>
      </c>
      <c r="C158" s="142">
        <f t="shared" si="12"/>
        <v>12849</v>
      </c>
      <c r="D158" s="1097">
        <v>12849</v>
      </c>
      <c r="E158" s="1098"/>
      <c r="F158" s="1099"/>
      <c r="H158" s="141">
        <f t="shared" si="11"/>
        <v>0</v>
      </c>
    </row>
    <row r="159" spans="1:8" s="143" customFormat="1" ht="12.75" thickBot="1">
      <c r="A159" s="1113" t="s">
        <v>12</v>
      </c>
      <c r="B159" s="1121" t="s">
        <v>313</v>
      </c>
      <c r="C159" s="130">
        <f>+C161+C162+C163+C164</f>
        <v>19676</v>
      </c>
      <c r="D159" s="131">
        <f>+D161+D162+D163+D164</f>
        <v>19676</v>
      </c>
      <c r="E159" s="132">
        <f>+E161+E162+E163+E164</f>
        <v>0</v>
      </c>
      <c r="F159" s="133">
        <f>+F161+F162+F163+F164</f>
        <v>0</v>
      </c>
      <c r="H159" s="143">
        <f t="shared" si="11"/>
        <v>0</v>
      </c>
    </row>
    <row r="160" spans="1:8" s="1104" customFormat="1">
      <c r="A160" s="1150" t="s">
        <v>344</v>
      </c>
      <c r="B160" s="1151" t="s">
        <v>345</v>
      </c>
      <c r="C160" s="1152">
        <f>+D160+E160+F160</f>
        <v>0</v>
      </c>
      <c r="D160" s="1153"/>
      <c r="E160" s="1154"/>
      <c r="F160" s="1155"/>
      <c r="H160" s="1104">
        <f t="shared" si="11"/>
        <v>0</v>
      </c>
    </row>
    <row r="161" spans="1:8">
      <c r="A161" s="1122" t="s">
        <v>69</v>
      </c>
      <c r="B161" s="135" t="s">
        <v>159</v>
      </c>
      <c r="C161" s="136">
        <f>+D161+E161+F161</f>
        <v>15492</v>
      </c>
      <c r="D161" s="137">
        <v>15492</v>
      </c>
      <c r="E161" s="138"/>
      <c r="F161" s="139"/>
      <c r="H161" s="141">
        <f t="shared" si="11"/>
        <v>0</v>
      </c>
    </row>
    <row r="162" spans="1:8">
      <c r="A162" s="1126" t="s">
        <v>70</v>
      </c>
      <c r="B162" s="1127" t="s">
        <v>160</v>
      </c>
      <c r="C162" s="129">
        <f>+D162+E162+F162</f>
        <v>0</v>
      </c>
      <c r="D162" s="1094"/>
      <c r="E162" s="1095"/>
      <c r="F162" s="1096"/>
      <c r="H162" s="141">
        <f t="shared" si="11"/>
        <v>0</v>
      </c>
    </row>
    <row r="163" spans="1:8">
      <c r="A163" s="1126" t="s">
        <v>71</v>
      </c>
      <c r="B163" s="1127" t="s">
        <v>161</v>
      </c>
      <c r="C163" s="129">
        <f>+D163+E163+F163</f>
        <v>0</v>
      </c>
      <c r="D163" s="1094"/>
      <c r="E163" s="1095"/>
      <c r="F163" s="1096"/>
      <c r="H163" s="141">
        <f t="shared" si="11"/>
        <v>0</v>
      </c>
    </row>
    <row r="164" spans="1:8" ht="12.75" thickBot="1">
      <c r="A164" s="1128" t="s">
        <v>72</v>
      </c>
      <c r="B164" s="1129" t="s">
        <v>162</v>
      </c>
      <c r="C164" s="142">
        <f>+D164+E164+F164</f>
        <v>4184</v>
      </c>
      <c r="D164" s="1097">
        <v>4184</v>
      </c>
      <c r="E164" s="1098"/>
      <c r="F164" s="1099"/>
      <c r="H164" s="141">
        <f t="shared" si="11"/>
        <v>0</v>
      </c>
    </row>
    <row r="165" spans="1:8" s="143" customFormat="1" ht="12.75" thickBot="1">
      <c r="A165" s="1113" t="s">
        <v>11</v>
      </c>
      <c r="B165" s="1121" t="s">
        <v>942</v>
      </c>
      <c r="C165" s="130">
        <f>+C166+C167+C168+C169+C171+C172+C173+C174+C175</f>
        <v>0</v>
      </c>
      <c r="D165" s="131">
        <f>+D166+D167+D168+D169+D171+D172+D173+D174+D175</f>
        <v>0</v>
      </c>
      <c r="E165" s="132">
        <f>+E166+E167+E168+E169+E171+E172+E173+E174+E175</f>
        <v>0</v>
      </c>
      <c r="F165" s="133">
        <f>+F166+F167+F168+F169+F171+F172+F173+F174+F175</f>
        <v>0</v>
      </c>
      <c r="H165" s="143">
        <f t="shared" si="11"/>
        <v>0</v>
      </c>
    </row>
    <row r="166" spans="1:8">
      <c r="A166" s="1122" t="s">
        <v>271</v>
      </c>
      <c r="B166" s="135" t="s">
        <v>163</v>
      </c>
      <c r="C166" s="136">
        <f t="shared" ref="C166:C175" si="13">+D166+E166+F166</f>
        <v>0</v>
      </c>
      <c r="D166" s="137"/>
      <c r="E166" s="138"/>
      <c r="F166" s="139"/>
      <c r="H166" s="141">
        <f t="shared" si="11"/>
        <v>0</v>
      </c>
    </row>
    <row r="167" spans="1:8">
      <c r="A167" s="1126" t="s">
        <v>272</v>
      </c>
      <c r="B167" s="1127" t="s">
        <v>164</v>
      </c>
      <c r="C167" s="129">
        <f t="shared" si="13"/>
        <v>0</v>
      </c>
      <c r="D167" s="1094"/>
      <c r="E167" s="1095"/>
      <c r="F167" s="1096"/>
      <c r="H167" s="141">
        <f t="shared" si="11"/>
        <v>0</v>
      </c>
    </row>
    <row r="168" spans="1:8">
      <c r="A168" s="1126" t="s">
        <v>273</v>
      </c>
      <c r="B168" s="1127" t="s">
        <v>165</v>
      </c>
      <c r="C168" s="129">
        <f t="shared" si="13"/>
        <v>0</v>
      </c>
      <c r="D168" s="1094"/>
      <c r="E168" s="1095"/>
      <c r="F168" s="1096"/>
      <c r="H168" s="141">
        <f t="shared" si="11"/>
        <v>0</v>
      </c>
    </row>
    <row r="169" spans="1:8">
      <c r="A169" s="1126" t="s">
        <v>274</v>
      </c>
      <c r="B169" s="1127" t="s">
        <v>166</v>
      </c>
      <c r="C169" s="129">
        <f t="shared" si="13"/>
        <v>0</v>
      </c>
      <c r="D169" s="1094"/>
      <c r="E169" s="1095"/>
      <c r="F169" s="1096"/>
      <c r="H169" s="141">
        <f t="shared" si="11"/>
        <v>0</v>
      </c>
    </row>
    <row r="170" spans="1:8" s="140" customFormat="1">
      <c r="A170" s="1130" t="s">
        <v>339</v>
      </c>
      <c r="B170" s="1131" t="s">
        <v>340</v>
      </c>
      <c r="C170" s="1132">
        <f t="shared" si="13"/>
        <v>0</v>
      </c>
      <c r="D170" s="1133"/>
      <c r="E170" s="1134"/>
      <c r="F170" s="1135"/>
      <c r="H170" s="140">
        <f t="shared" si="11"/>
        <v>0</v>
      </c>
    </row>
    <row r="171" spans="1:8">
      <c r="A171" s="1126" t="s">
        <v>275</v>
      </c>
      <c r="B171" s="1127" t="s">
        <v>167</v>
      </c>
      <c r="C171" s="129">
        <f t="shared" si="13"/>
        <v>0</v>
      </c>
      <c r="D171" s="1094"/>
      <c r="E171" s="1095"/>
      <c r="F171" s="1096"/>
      <c r="H171" s="141">
        <f t="shared" si="11"/>
        <v>0</v>
      </c>
    </row>
    <row r="172" spans="1:8">
      <c r="A172" s="1126" t="s">
        <v>276</v>
      </c>
      <c r="B172" s="1127" t="s">
        <v>168</v>
      </c>
      <c r="C172" s="129">
        <f t="shared" si="13"/>
        <v>0</v>
      </c>
      <c r="D172" s="1094"/>
      <c r="E172" s="1095"/>
      <c r="F172" s="1096"/>
      <c r="H172" s="141">
        <f t="shared" si="11"/>
        <v>0</v>
      </c>
    </row>
    <row r="173" spans="1:8">
      <c r="A173" s="1126" t="s">
        <v>277</v>
      </c>
      <c r="B173" s="1127" t="s">
        <v>169</v>
      </c>
      <c r="C173" s="129">
        <f t="shared" si="13"/>
        <v>0</v>
      </c>
      <c r="D173" s="1094"/>
      <c r="E173" s="1095"/>
      <c r="F173" s="1096"/>
      <c r="H173" s="141">
        <f t="shared" si="11"/>
        <v>0</v>
      </c>
    </row>
    <row r="174" spans="1:8">
      <c r="A174" s="1126" t="s">
        <v>278</v>
      </c>
      <c r="B174" s="1127" t="s">
        <v>943</v>
      </c>
      <c r="C174" s="129">
        <f>+D174+E174+F174</f>
        <v>0</v>
      </c>
      <c r="D174" s="1094"/>
      <c r="E174" s="1095"/>
      <c r="F174" s="1096"/>
      <c r="H174" s="141">
        <f t="shared" si="11"/>
        <v>0</v>
      </c>
    </row>
    <row r="175" spans="1:8" ht="12.75" thickBot="1">
      <c r="A175" s="1128" t="s">
        <v>941</v>
      </c>
      <c r="B175" s="1129" t="s">
        <v>944</v>
      </c>
      <c r="C175" s="142">
        <f t="shared" si="13"/>
        <v>0</v>
      </c>
      <c r="D175" s="1097"/>
      <c r="E175" s="1098"/>
      <c r="F175" s="1099"/>
      <c r="H175" s="141">
        <f t="shared" si="11"/>
        <v>0</v>
      </c>
    </row>
    <row r="176" spans="1:8" s="143" customFormat="1" ht="12.75" thickBot="1">
      <c r="A176" s="1113" t="s">
        <v>10</v>
      </c>
      <c r="B176" s="1136" t="s">
        <v>314</v>
      </c>
      <c r="C176" s="130">
        <f>+C109+C149</f>
        <v>3667147</v>
      </c>
      <c r="D176" s="131">
        <f>+D109+D149</f>
        <v>3308909</v>
      </c>
      <c r="E176" s="132">
        <f>+E109+E149</f>
        <v>358238</v>
      </c>
      <c r="F176" s="133">
        <f>+F109+F149</f>
        <v>0</v>
      </c>
      <c r="H176" s="143">
        <f t="shared" si="11"/>
        <v>0</v>
      </c>
    </row>
    <row r="177" spans="1:8" s="143" customFormat="1" ht="12.75" thickBot="1">
      <c r="A177" s="1113" t="s">
        <v>9</v>
      </c>
      <c r="B177" s="1137" t="s">
        <v>315</v>
      </c>
      <c r="C177" s="130">
        <f>+C178</f>
        <v>868215</v>
      </c>
      <c r="D177" s="131">
        <f>+D178</f>
        <v>860327</v>
      </c>
      <c r="E177" s="132">
        <f>+E178</f>
        <v>7888</v>
      </c>
      <c r="F177" s="133">
        <f>+F178</f>
        <v>0</v>
      </c>
      <c r="H177" s="143">
        <f t="shared" si="11"/>
        <v>0</v>
      </c>
    </row>
    <row r="178" spans="1:8" s="143" customFormat="1" ht="12.75" thickBot="1">
      <c r="A178" s="1113" t="s">
        <v>45</v>
      </c>
      <c r="B178" s="1121" t="s">
        <v>951</v>
      </c>
      <c r="C178" s="130">
        <f>+C179+C189+C190+C191</f>
        <v>868215</v>
      </c>
      <c r="D178" s="131">
        <f>+D179+D189+D190+D191</f>
        <v>860327</v>
      </c>
      <c r="E178" s="132">
        <f>+E179+E189+E190+E191</f>
        <v>7888</v>
      </c>
      <c r="F178" s="133">
        <f>+F179+F189+F190+F191</f>
        <v>0</v>
      </c>
      <c r="H178" s="143">
        <f t="shared" si="11"/>
        <v>0</v>
      </c>
    </row>
    <row r="179" spans="1:8">
      <c r="A179" s="1122" t="s">
        <v>75</v>
      </c>
      <c r="B179" s="135" t="s">
        <v>952</v>
      </c>
      <c r="C179" s="136">
        <f>+C180+C181+C182+C183+C184+C185+C186+C187+C188</f>
        <v>868215</v>
      </c>
      <c r="D179" s="1157">
        <f>+D180+D181+D182+D183+D184+D185+D186+D187+D188</f>
        <v>860327</v>
      </c>
      <c r="E179" s="1158">
        <f>+E180+E181+E182+E183+E184+E185+E186+E187+E188</f>
        <v>7888</v>
      </c>
      <c r="F179" s="1159">
        <f>+F180+F181+F182+F183+F184+F185+F186+F187+F188</f>
        <v>0</v>
      </c>
      <c r="H179" s="141">
        <f t="shared" si="11"/>
        <v>0</v>
      </c>
    </row>
    <row r="180" spans="1:8" s="140" customFormat="1">
      <c r="A180" s="127" t="s">
        <v>205</v>
      </c>
      <c r="B180" s="128" t="s">
        <v>170</v>
      </c>
      <c r="C180" s="134">
        <f t="shared" ref="C180:C190" si="14">+D180+E180+F180</f>
        <v>0</v>
      </c>
      <c r="D180" s="908"/>
      <c r="E180" s="770"/>
      <c r="F180" s="771"/>
      <c r="H180" s="140">
        <f t="shared" si="11"/>
        <v>0</v>
      </c>
    </row>
    <row r="181" spans="1:8" s="140" customFormat="1">
      <c r="A181" s="127" t="s">
        <v>206</v>
      </c>
      <c r="B181" s="128" t="s">
        <v>171</v>
      </c>
      <c r="C181" s="134">
        <f t="shared" si="14"/>
        <v>0</v>
      </c>
      <c r="D181" s="908"/>
      <c r="E181" s="770"/>
      <c r="F181" s="771"/>
      <c r="H181" s="140">
        <f t="shared" si="11"/>
        <v>0</v>
      </c>
    </row>
    <row r="182" spans="1:8" s="140" customFormat="1">
      <c r="A182" s="127" t="s">
        <v>207</v>
      </c>
      <c r="B182" s="128" t="s">
        <v>172</v>
      </c>
      <c r="C182" s="134">
        <f t="shared" si="14"/>
        <v>0</v>
      </c>
      <c r="D182" s="908"/>
      <c r="E182" s="770"/>
      <c r="F182" s="771"/>
      <c r="H182" s="140">
        <f t="shared" si="11"/>
        <v>0</v>
      </c>
    </row>
    <row r="183" spans="1:8" s="140" customFormat="1">
      <c r="A183" s="127" t="s">
        <v>208</v>
      </c>
      <c r="B183" s="128" t="s">
        <v>173</v>
      </c>
      <c r="C183" s="134">
        <f t="shared" si="14"/>
        <v>26671</v>
      </c>
      <c r="D183" s="908">
        <v>26671</v>
      </c>
      <c r="E183" s="770"/>
      <c r="F183" s="771"/>
      <c r="H183" s="140">
        <f t="shared" si="11"/>
        <v>0</v>
      </c>
    </row>
    <row r="184" spans="1:8" s="140" customFormat="1">
      <c r="A184" s="127" t="s">
        <v>209</v>
      </c>
      <c r="B184" s="128" t="s">
        <v>174</v>
      </c>
      <c r="C184" s="134">
        <f t="shared" si="14"/>
        <v>841544</v>
      </c>
      <c r="D184" s="908">
        <f>+'1.2.mell._HKÖH_Mérleg2019'!D79+'1.3.mell._HVÓBKI_Mérleg2019'!D79+'1.4.mell._HKK_Mérleg2019'!D79+'1.5._mell._MŐSZ_Mérleg2019'!D79+'1.6._mell._HVGYKCSSZ_Mérleg2019'!D79</f>
        <v>833656</v>
      </c>
      <c r="E184" s="769">
        <f>+'1.2.mell._HKÖH_Mérleg2019'!E79+'1.3.mell._HVÓBKI_Mérleg2019'!E79+'1.4.mell._HKK_Mérleg2019'!E79+'1.5._mell._MŐSZ_Mérleg2019'!E79+'1.6._mell._HVGYKCSSZ_Mérleg2019'!E79</f>
        <v>7888</v>
      </c>
      <c r="F184" s="909">
        <f>+'1.2.mell._HKÖH_Mérleg2019'!F79+'1.3.mell._HVÓBKI_Mérleg2019'!F79+'1.4.mell._HKK_Mérleg2019'!F79+'1.5._mell._MŐSZ_Mérleg2019'!F79+'1.6._mell._HVGYKCSSZ_Mérleg2019'!F79</f>
        <v>0</v>
      </c>
      <c r="H184" s="140">
        <f t="shared" si="11"/>
        <v>0</v>
      </c>
    </row>
    <row r="185" spans="1:8" s="140" customFormat="1">
      <c r="A185" s="127" t="s">
        <v>210</v>
      </c>
      <c r="B185" s="128" t="s">
        <v>179</v>
      </c>
      <c r="C185" s="134">
        <f t="shared" si="14"/>
        <v>0</v>
      </c>
      <c r="D185" s="908"/>
      <c r="E185" s="770"/>
      <c r="F185" s="771"/>
      <c r="H185" s="140">
        <f t="shared" si="11"/>
        <v>0</v>
      </c>
    </row>
    <row r="186" spans="1:8" s="140" customFormat="1">
      <c r="A186" s="127" t="s">
        <v>211</v>
      </c>
      <c r="B186" s="128" t="s">
        <v>175</v>
      </c>
      <c r="C186" s="134">
        <f t="shared" si="14"/>
        <v>0</v>
      </c>
      <c r="D186" s="908"/>
      <c r="E186" s="770"/>
      <c r="F186" s="771"/>
      <c r="H186" s="140">
        <f t="shared" si="11"/>
        <v>0</v>
      </c>
    </row>
    <row r="187" spans="1:8" s="140" customFormat="1">
      <c r="A187" s="127" t="s">
        <v>212</v>
      </c>
      <c r="B187" s="128" t="s">
        <v>176</v>
      </c>
      <c r="C187" s="134">
        <f t="shared" si="14"/>
        <v>0</v>
      </c>
      <c r="D187" s="908"/>
      <c r="E187" s="770"/>
      <c r="F187" s="771"/>
      <c r="H187" s="140">
        <f t="shared" si="11"/>
        <v>0</v>
      </c>
    </row>
    <row r="188" spans="1:8" s="140" customFormat="1">
      <c r="A188" s="127" t="s">
        <v>945</v>
      </c>
      <c r="B188" s="128" t="s">
        <v>947</v>
      </c>
      <c r="C188" s="134">
        <f>+D188+E188+F188</f>
        <v>0</v>
      </c>
      <c r="D188" s="908"/>
      <c r="E188" s="770"/>
      <c r="F188" s="771"/>
      <c r="H188" s="140">
        <f t="shared" si="11"/>
        <v>0</v>
      </c>
    </row>
    <row r="189" spans="1:8">
      <c r="A189" s="1126" t="s">
        <v>76</v>
      </c>
      <c r="B189" s="1127" t="s">
        <v>177</v>
      </c>
      <c r="C189" s="129">
        <f t="shared" si="14"/>
        <v>0</v>
      </c>
      <c r="D189" s="1160"/>
      <c r="E189" s="1095"/>
      <c r="F189" s="1096"/>
      <c r="H189" s="141">
        <f t="shared" si="11"/>
        <v>0</v>
      </c>
    </row>
    <row r="190" spans="1:8">
      <c r="A190" s="1128" t="s">
        <v>77</v>
      </c>
      <c r="B190" s="1129" t="s">
        <v>178</v>
      </c>
      <c r="C190" s="142">
        <f t="shared" si="14"/>
        <v>0</v>
      </c>
      <c r="D190" s="1161"/>
      <c r="E190" s="1098"/>
      <c r="F190" s="1099"/>
      <c r="H190" s="141">
        <f t="shared" si="11"/>
        <v>0</v>
      </c>
    </row>
    <row r="191" spans="1:8" ht="12.75" thickBot="1">
      <c r="A191" s="1128" t="s">
        <v>950</v>
      </c>
      <c r="B191" s="1129" t="s">
        <v>948</v>
      </c>
      <c r="C191" s="142">
        <f>+D191+E191+F191</f>
        <v>0</v>
      </c>
      <c r="D191" s="1162"/>
      <c r="E191" s="1163"/>
      <c r="F191" s="1164"/>
      <c r="H191" s="141">
        <f t="shared" si="11"/>
        <v>0</v>
      </c>
    </row>
    <row r="192" spans="1:8" s="143" customFormat="1" ht="12.75" thickBot="1">
      <c r="A192" s="1113" t="s">
        <v>44</v>
      </c>
      <c r="B192" s="1136" t="s">
        <v>316</v>
      </c>
      <c r="C192" s="130">
        <f>+C193</f>
        <v>13151</v>
      </c>
      <c r="D192" s="131">
        <f>+D193</f>
        <v>11851</v>
      </c>
      <c r="E192" s="132">
        <f>+E193</f>
        <v>1300</v>
      </c>
      <c r="F192" s="133">
        <f>+F193</f>
        <v>0</v>
      </c>
      <c r="H192" s="143">
        <f t="shared" si="11"/>
        <v>0</v>
      </c>
    </row>
    <row r="193" spans="1:8" s="143" customFormat="1" ht="12.75" thickBot="1">
      <c r="A193" s="1113" t="s">
        <v>43</v>
      </c>
      <c r="B193" s="1121" t="s">
        <v>946</v>
      </c>
      <c r="C193" s="130">
        <f>+C194+C204+C205+C206</f>
        <v>13151</v>
      </c>
      <c r="D193" s="131">
        <f>+D194+D204+D205+D206</f>
        <v>11851</v>
      </c>
      <c r="E193" s="132">
        <f>+E194+E204+E205+E206</f>
        <v>1300</v>
      </c>
      <c r="F193" s="133">
        <f>+F194+F204+F205+F206</f>
        <v>0</v>
      </c>
      <c r="H193" s="143">
        <f t="shared" si="11"/>
        <v>0</v>
      </c>
    </row>
    <row r="194" spans="1:8">
      <c r="A194" s="1122" t="s">
        <v>78</v>
      </c>
      <c r="B194" s="135" t="s">
        <v>984</v>
      </c>
      <c r="C194" s="136">
        <f>+C195+C196+C197+C198+C199+C200+C201+C202+C203</f>
        <v>13151</v>
      </c>
      <c r="D194" s="1157">
        <f>+D195+D196+D197+D198+D199+D200+D201+D202+D203</f>
        <v>11851</v>
      </c>
      <c r="E194" s="1158">
        <f>+E195+E196+E197+E198+E199+E200+E201+E202+E203</f>
        <v>1300</v>
      </c>
      <c r="F194" s="1159">
        <f>+F195+F196+F197+F198+F199+F200+F201+F202+F203</f>
        <v>0</v>
      </c>
      <c r="H194" s="141">
        <f t="shared" si="11"/>
        <v>0</v>
      </c>
    </row>
    <row r="195" spans="1:8" s="140" customFormat="1">
      <c r="A195" s="127" t="s">
        <v>213</v>
      </c>
      <c r="B195" s="128" t="s">
        <v>170</v>
      </c>
      <c r="C195" s="134">
        <f t="shared" ref="C195:C205" si="15">+D195+E195+F195</f>
        <v>0</v>
      </c>
      <c r="D195" s="908"/>
      <c r="E195" s="770"/>
      <c r="F195" s="771"/>
      <c r="H195" s="140">
        <f t="shared" si="11"/>
        <v>0</v>
      </c>
    </row>
    <row r="196" spans="1:8" s="140" customFormat="1">
      <c r="A196" s="127" t="s">
        <v>214</v>
      </c>
      <c r="B196" s="128" t="s">
        <v>171</v>
      </c>
      <c r="C196" s="134">
        <f t="shared" si="15"/>
        <v>0</v>
      </c>
      <c r="D196" s="908"/>
      <c r="E196" s="770"/>
      <c r="F196" s="771"/>
      <c r="H196" s="140">
        <f t="shared" si="11"/>
        <v>0</v>
      </c>
    </row>
    <row r="197" spans="1:8" s="140" customFormat="1">
      <c r="A197" s="127" t="s">
        <v>215</v>
      </c>
      <c r="B197" s="128" t="s">
        <v>172</v>
      </c>
      <c r="C197" s="134">
        <f t="shared" si="15"/>
        <v>0</v>
      </c>
      <c r="D197" s="908"/>
      <c r="E197" s="770"/>
      <c r="F197" s="771"/>
      <c r="H197" s="140">
        <f t="shared" si="11"/>
        <v>0</v>
      </c>
    </row>
    <row r="198" spans="1:8" s="140" customFormat="1">
      <c r="A198" s="127" t="s">
        <v>216</v>
      </c>
      <c r="B198" s="128" t="s">
        <v>173</v>
      </c>
      <c r="C198" s="134">
        <f t="shared" si="15"/>
        <v>0</v>
      </c>
      <c r="D198" s="908"/>
      <c r="E198" s="770"/>
      <c r="F198" s="771"/>
      <c r="H198" s="140">
        <f t="shared" si="11"/>
        <v>0</v>
      </c>
    </row>
    <row r="199" spans="1:8" s="140" customFormat="1">
      <c r="A199" s="127" t="s">
        <v>217</v>
      </c>
      <c r="B199" s="128" t="s">
        <v>174</v>
      </c>
      <c r="C199" s="134">
        <f t="shared" si="15"/>
        <v>13151</v>
      </c>
      <c r="D199" s="908">
        <f>+'1.2.mell._HKÖH_Mérleg2019'!D94+'1.3.mell._HVÓBKI_Mérleg2019'!D94+'1.4.mell._HKK_Mérleg2019'!D94+'1.5._mell._MŐSZ_Mérleg2019'!D94+'1.6._mell._HVGYKCSSZ_Mérleg2019'!D94</f>
        <v>11851</v>
      </c>
      <c r="E199" s="769">
        <f>+'1.2.mell._HKÖH_Mérleg2019'!E94+'1.3.mell._HVÓBKI_Mérleg2019'!E94+'1.4.mell._HKK_Mérleg2019'!E94+'1.5._mell._MŐSZ_Mérleg2019'!E94+'1.6._mell._HVGYKCSSZ_Mérleg2019'!E94</f>
        <v>1300</v>
      </c>
      <c r="F199" s="909">
        <f>+'1.2.mell._HKÖH_Mérleg2019'!F94+'1.3.mell._HVÓBKI_Mérleg2019'!F94+'1.4.mell._HKK_Mérleg2019'!F94+'1.5._mell._MŐSZ_Mérleg2019'!F94+'1.6._mell._HVGYKCSSZ_Mérleg2019'!F94</f>
        <v>0</v>
      </c>
      <c r="H199" s="140">
        <f t="shared" si="11"/>
        <v>0</v>
      </c>
    </row>
    <row r="200" spans="1:8" s="140" customFormat="1">
      <c r="A200" s="127" t="s">
        <v>218</v>
      </c>
      <c r="B200" s="128" t="s">
        <v>179</v>
      </c>
      <c r="C200" s="134">
        <f t="shared" si="15"/>
        <v>0</v>
      </c>
      <c r="D200" s="908"/>
      <c r="E200" s="770"/>
      <c r="F200" s="771"/>
      <c r="H200" s="140">
        <f t="shared" si="11"/>
        <v>0</v>
      </c>
    </row>
    <row r="201" spans="1:8" s="140" customFormat="1">
      <c r="A201" s="127" t="s">
        <v>219</v>
      </c>
      <c r="B201" s="128" t="s">
        <v>175</v>
      </c>
      <c r="C201" s="134">
        <f t="shared" si="15"/>
        <v>0</v>
      </c>
      <c r="D201" s="908"/>
      <c r="E201" s="770"/>
      <c r="F201" s="771"/>
      <c r="H201" s="140">
        <f t="shared" si="11"/>
        <v>0</v>
      </c>
    </row>
    <row r="202" spans="1:8" s="140" customFormat="1">
      <c r="A202" s="127" t="s">
        <v>220</v>
      </c>
      <c r="B202" s="128" t="s">
        <v>176</v>
      </c>
      <c r="C202" s="134">
        <f t="shared" si="15"/>
        <v>0</v>
      </c>
      <c r="D202" s="908"/>
      <c r="E202" s="770"/>
      <c r="F202" s="771"/>
      <c r="H202" s="140">
        <f t="shared" si="11"/>
        <v>0</v>
      </c>
    </row>
    <row r="203" spans="1:8" s="140" customFormat="1">
      <c r="A203" s="127" t="s">
        <v>945</v>
      </c>
      <c r="B203" s="128" t="s">
        <v>947</v>
      </c>
      <c r="C203" s="134">
        <f>+D203+E203+F203</f>
        <v>0</v>
      </c>
      <c r="D203" s="908"/>
      <c r="E203" s="770"/>
      <c r="F203" s="771"/>
      <c r="H203" s="140">
        <f t="shared" ref="H203:H242" si="16">+C203-D203-E203-F203</f>
        <v>0</v>
      </c>
    </row>
    <row r="204" spans="1:8">
      <c r="A204" s="1126" t="s">
        <v>79</v>
      </c>
      <c r="B204" s="1127" t="s">
        <v>177</v>
      </c>
      <c r="C204" s="129">
        <f t="shared" si="15"/>
        <v>0</v>
      </c>
      <c r="D204" s="1160"/>
      <c r="E204" s="1095"/>
      <c r="F204" s="1096"/>
      <c r="H204" s="141">
        <f t="shared" si="16"/>
        <v>0</v>
      </c>
    </row>
    <row r="205" spans="1:8">
      <c r="A205" s="1128" t="s">
        <v>221</v>
      </c>
      <c r="B205" s="1129" t="s">
        <v>178</v>
      </c>
      <c r="C205" s="142">
        <f t="shared" si="15"/>
        <v>0</v>
      </c>
      <c r="D205" s="1161"/>
      <c r="E205" s="1098"/>
      <c r="F205" s="1099"/>
      <c r="H205" s="141">
        <f t="shared" si="16"/>
        <v>0</v>
      </c>
    </row>
    <row r="206" spans="1:8" ht="12.75" thickBot="1">
      <c r="A206" s="1128" t="s">
        <v>949</v>
      </c>
      <c r="B206" s="1129" t="s">
        <v>948</v>
      </c>
      <c r="C206" s="142">
        <f>+D206+E206+F206</f>
        <v>0</v>
      </c>
      <c r="D206" s="1162"/>
      <c r="E206" s="1163"/>
      <c r="F206" s="1164"/>
      <c r="H206" s="141">
        <f t="shared" si="16"/>
        <v>0</v>
      </c>
    </row>
    <row r="207" spans="1:8" s="143" customFormat="1" ht="12.75" thickBot="1">
      <c r="A207" s="1113" t="s">
        <v>40</v>
      </c>
      <c r="B207" s="1136" t="s">
        <v>317</v>
      </c>
      <c r="C207" s="130">
        <f>+C177+C192</f>
        <v>881366</v>
      </c>
      <c r="D207" s="131">
        <f>+D177+D192</f>
        <v>872178</v>
      </c>
      <c r="E207" s="132">
        <f>+E177+E192</f>
        <v>9188</v>
      </c>
      <c r="F207" s="133">
        <f>+F177+F192</f>
        <v>0</v>
      </c>
      <c r="H207" s="143">
        <f t="shared" si="16"/>
        <v>0</v>
      </c>
    </row>
    <row r="208" spans="1:8" s="143" customFormat="1" ht="12.75" thickBot="1">
      <c r="A208" s="1138" t="s">
        <v>39</v>
      </c>
      <c r="B208" s="1139" t="s">
        <v>335</v>
      </c>
      <c r="C208" s="1140">
        <f>+C176+C207</f>
        <v>4548513</v>
      </c>
      <c r="D208" s="1141">
        <f>+D176+D207</f>
        <v>4181087</v>
      </c>
      <c r="E208" s="1142">
        <f>+E176+E207</f>
        <v>367426</v>
      </c>
      <c r="F208" s="1143">
        <f>+F176+F207</f>
        <v>0</v>
      </c>
      <c r="H208" s="143">
        <f t="shared" si="16"/>
        <v>0</v>
      </c>
    </row>
    <row r="211" spans="1:28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1104" customFormat="1" ht="12.75" thickBot="1">
      <c r="A212" s="1103" t="s">
        <v>282</v>
      </c>
      <c r="F212" s="1105" t="s">
        <v>281</v>
      </c>
    </row>
    <row r="213" spans="1:28" s="143" customFormat="1" ht="12.75" thickBot="1">
      <c r="A213" s="1113" t="s">
        <v>4</v>
      </c>
      <c r="B213" s="1136" t="s">
        <v>318</v>
      </c>
      <c r="C213" s="130">
        <f>+C214+C215</f>
        <v>-1867405</v>
      </c>
      <c r="D213" s="131">
        <f>+D214+D215</f>
        <v>-1860667</v>
      </c>
      <c r="E213" s="132">
        <f>+E214+E215</f>
        <v>-6738</v>
      </c>
      <c r="F213" s="133">
        <f>+F214+F215</f>
        <v>0</v>
      </c>
      <c r="H213" s="143">
        <f t="shared" si="16"/>
        <v>0</v>
      </c>
    </row>
    <row r="214" spans="1:28">
      <c r="A214" s="1122" t="s">
        <v>81</v>
      </c>
      <c r="B214" s="1165" t="s">
        <v>319</v>
      </c>
      <c r="C214" s="136">
        <f>+C10-C109</f>
        <v>-1783831</v>
      </c>
      <c r="D214" s="137">
        <f>+D10-D109</f>
        <v>-1775593</v>
      </c>
      <c r="E214" s="138">
        <f>+E10-E109</f>
        <v>-8238</v>
      </c>
      <c r="F214" s="139">
        <f>+F10-F109</f>
        <v>0</v>
      </c>
      <c r="H214" s="141">
        <f t="shared" si="16"/>
        <v>0</v>
      </c>
    </row>
    <row r="215" spans="1:28" ht="12.75" thickBot="1">
      <c r="A215" s="1166" t="s">
        <v>82</v>
      </c>
      <c r="B215" s="1167" t="s">
        <v>320</v>
      </c>
      <c r="C215" s="1168">
        <f>+C50-C149</f>
        <v>-83574</v>
      </c>
      <c r="D215" s="1169">
        <f>+D50-D149</f>
        <v>-85074</v>
      </c>
      <c r="E215" s="1163">
        <f>+E50-E149</f>
        <v>1500</v>
      </c>
      <c r="F215" s="1164">
        <f>+F50-F149</f>
        <v>0</v>
      </c>
      <c r="H215" s="141">
        <f t="shared" si="16"/>
        <v>0</v>
      </c>
    </row>
    <row r="218" spans="1:28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1104" customFormat="1" ht="12.75" thickBot="1">
      <c r="A219" s="1103" t="s">
        <v>283</v>
      </c>
      <c r="F219" s="1105" t="s">
        <v>281</v>
      </c>
    </row>
    <row r="220" spans="1:28" s="143" customFormat="1" ht="12.75" thickBot="1">
      <c r="A220" s="1113" t="s">
        <v>4</v>
      </c>
      <c r="B220" s="1136" t="s">
        <v>321</v>
      </c>
      <c r="C220" s="130">
        <f>+C221+C228</f>
        <v>1867405</v>
      </c>
      <c r="D220" s="131">
        <f>+D221+D228</f>
        <v>1876593</v>
      </c>
      <c r="E220" s="132">
        <f>+E221+E228</f>
        <v>-9188</v>
      </c>
      <c r="F220" s="133">
        <f>+F221+F228</f>
        <v>0</v>
      </c>
      <c r="H220" s="143">
        <f t="shared" si="16"/>
        <v>0</v>
      </c>
    </row>
    <row r="221" spans="1:28" s="143" customFormat="1" ht="12.75" thickBot="1">
      <c r="A221" s="1113" t="s">
        <v>5</v>
      </c>
      <c r="B221" s="1121" t="s">
        <v>322</v>
      </c>
      <c r="C221" s="130">
        <f>+C222-C225</f>
        <v>1870557</v>
      </c>
      <c r="D221" s="131">
        <f>+D222-D225</f>
        <v>1878445</v>
      </c>
      <c r="E221" s="132">
        <f>+E222-E225</f>
        <v>-7888</v>
      </c>
      <c r="F221" s="133">
        <f>+F222-F225</f>
        <v>0</v>
      </c>
      <c r="H221" s="143">
        <f t="shared" si="16"/>
        <v>0</v>
      </c>
    </row>
    <row r="222" spans="1:28">
      <c r="A222" s="1122" t="s">
        <v>54</v>
      </c>
      <c r="B222" s="135" t="s">
        <v>323</v>
      </c>
      <c r="C222" s="136">
        <f>+C223+C224</f>
        <v>2738772</v>
      </c>
      <c r="D222" s="137">
        <f>+D223+D224</f>
        <v>2738772</v>
      </c>
      <c r="E222" s="138">
        <f>+E223+E224</f>
        <v>0</v>
      </c>
      <c r="F222" s="139">
        <f>+F223+F224</f>
        <v>0</v>
      </c>
      <c r="H222" s="141">
        <f t="shared" si="16"/>
        <v>0</v>
      </c>
    </row>
    <row r="223" spans="1:28" s="140" customFormat="1">
      <c r="A223" s="127" t="s">
        <v>190</v>
      </c>
      <c r="B223" s="128" t="s">
        <v>285</v>
      </c>
      <c r="C223" s="134">
        <f>+C76+C80</f>
        <v>2738772</v>
      </c>
      <c r="D223" s="769">
        <f>+D76+D80</f>
        <v>2738772</v>
      </c>
      <c r="E223" s="770">
        <f>+E76+E80</f>
        <v>0</v>
      </c>
      <c r="F223" s="771">
        <f>+F76+F80</f>
        <v>0</v>
      </c>
      <c r="H223" s="140">
        <f t="shared" si="16"/>
        <v>0</v>
      </c>
    </row>
    <row r="224" spans="1:28" s="140" customFormat="1">
      <c r="A224" s="127" t="s">
        <v>191</v>
      </c>
      <c r="B224" s="128" t="s">
        <v>286</v>
      </c>
      <c r="C224" s="134">
        <f>+C74+C75+C77+C78+C79+C81</f>
        <v>0</v>
      </c>
      <c r="D224" s="769">
        <f>+D74+D75+D77+D78+D79+D81</f>
        <v>0</v>
      </c>
      <c r="E224" s="770">
        <f>+E74+E75+E77+E78+E79+E81</f>
        <v>0</v>
      </c>
      <c r="F224" s="771">
        <f>+F74+F75+F77+F78+F79+F81</f>
        <v>0</v>
      </c>
      <c r="H224" s="140">
        <f t="shared" si="16"/>
        <v>0</v>
      </c>
    </row>
    <row r="225" spans="1:28">
      <c r="A225" s="1126" t="s">
        <v>55</v>
      </c>
      <c r="B225" s="1127" t="s">
        <v>324</v>
      </c>
      <c r="C225" s="129">
        <f>+C227</f>
        <v>868215</v>
      </c>
      <c r="D225" s="1094">
        <f>+D227</f>
        <v>860327</v>
      </c>
      <c r="E225" s="1095">
        <f>+E227</f>
        <v>7888</v>
      </c>
      <c r="F225" s="1096">
        <f>+F227</f>
        <v>0</v>
      </c>
      <c r="H225" s="141">
        <f t="shared" si="16"/>
        <v>0</v>
      </c>
    </row>
    <row r="226" spans="1:28" s="140" customFormat="1">
      <c r="A226" s="127" t="s">
        <v>56</v>
      </c>
      <c r="B226" s="128" t="s">
        <v>287</v>
      </c>
      <c r="C226" s="134">
        <f>+C185</f>
        <v>0</v>
      </c>
      <c r="D226" s="769">
        <f>+D185</f>
        <v>0</v>
      </c>
      <c r="E226" s="770">
        <f>+E185</f>
        <v>0</v>
      </c>
      <c r="F226" s="771">
        <f>+F185</f>
        <v>0</v>
      </c>
      <c r="H226" s="140">
        <f t="shared" si="16"/>
        <v>0</v>
      </c>
    </row>
    <row r="227" spans="1:28" s="140" customFormat="1" ht="12.75" thickBot="1">
      <c r="A227" s="1130" t="s">
        <v>57</v>
      </c>
      <c r="B227" s="1156" t="s">
        <v>288</v>
      </c>
      <c r="C227" s="1132">
        <f>+C180+C181+C182+C183+C184+C186+C187</f>
        <v>868215</v>
      </c>
      <c r="D227" s="1133">
        <f>+D180+D181+D182+D183+D184+D186+D187</f>
        <v>860327</v>
      </c>
      <c r="E227" s="1134">
        <f>+E180+E181+E182+E183+E184+E186+E187</f>
        <v>7888</v>
      </c>
      <c r="F227" s="1135">
        <f>+F180+F181+F182+F183+F184+F186+F187</f>
        <v>0</v>
      </c>
      <c r="H227" s="140">
        <f t="shared" si="16"/>
        <v>0</v>
      </c>
    </row>
    <row r="228" spans="1:28" s="143" customFormat="1" ht="12.75" thickBot="1">
      <c r="A228" s="1113" t="s">
        <v>6</v>
      </c>
      <c r="B228" s="1121" t="s">
        <v>325</v>
      </c>
      <c r="C228" s="130">
        <f>+C229-C232</f>
        <v>-3152</v>
      </c>
      <c r="D228" s="131">
        <f>+D229-D232</f>
        <v>-1852</v>
      </c>
      <c r="E228" s="132">
        <f>+E229-E232</f>
        <v>-1300</v>
      </c>
      <c r="F228" s="133">
        <f>+F229-F232</f>
        <v>0</v>
      </c>
      <c r="H228" s="143">
        <f t="shared" si="16"/>
        <v>0</v>
      </c>
    </row>
    <row r="229" spans="1:28">
      <c r="A229" s="1122" t="s">
        <v>58</v>
      </c>
      <c r="B229" s="135" t="s">
        <v>326</v>
      </c>
      <c r="C229" s="136">
        <f>+C230+C231</f>
        <v>9999</v>
      </c>
      <c r="D229" s="137">
        <f>+D230+D231</f>
        <v>9999</v>
      </c>
      <c r="E229" s="138">
        <f>+E230+E231</f>
        <v>0</v>
      </c>
      <c r="F229" s="139">
        <f>+F230+F231</f>
        <v>0</v>
      </c>
      <c r="H229" s="141">
        <f t="shared" si="16"/>
        <v>0</v>
      </c>
    </row>
    <row r="230" spans="1:28" s="140" customFormat="1">
      <c r="A230" s="127" t="s">
        <v>293</v>
      </c>
      <c r="B230" s="128" t="s">
        <v>291</v>
      </c>
      <c r="C230" s="134">
        <f>+C91+C95</f>
        <v>0</v>
      </c>
      <c r="D230" s="769">
        <f>+D91+D95</f>
        <v>0</v>
      </c>
      <c r="E230" s="770">
        <f>+E91+E95</f>
        <v>0</v>
      </c>
      <c r="F230" s="771">
        <f>+F91+F95</f>
        <v>0</v>
      </c>
      <c r="H230" s="140">
        <f t="shared" si="16"/>
        <v>0</v>
      </c>
    </row>
    <row r="231" spans="1:28" s="140" customFormat="1">
      <c r="A231" s="127" t="s">
        <v>294</v>
      </c>
      <c r="B231" s="128" t="s">
        <v>292</v>
      </c>
      <c r="C231" s="134">
        <f>+C89+C90+C92+C93+C94+C96</f>
        <v>9999</v>
      </c>
      <c r="D231" s="769">
        <f>+D89+D90+D92+D93+D94+D96</f>
        <v>9999</v>
      </c>
      <c r="E231" s="770">
        <f>+E89+E90+E92+E93+E94+E96</f>
        <v>0</v>
      </c>
      <c r="F231" s="771">
        <f>+F89+F90+F92+F93+F94+F96</f>
        <v>0</v>
      </c>
      <c r="H231" s="140">
        <f t="shared" si="16"/>
        <v>0</v>
      </c>
    </row>
    <row r="232" spans="1:28">
      <c r="A232" s="1126" t="s">
        <v>59</v>
      </c>
      <c r="B232" s="1127" t="s">
        <v>327</v>
      </c>
      <c r="C232" s="129">
        <f>+C233+C234</f>
        <v>13151</v>
      </c>
      <c r="D232" s="1094">
        <f>+D233+D234</f>
        <v>11851</v>
      </c>
      <c r="E232" s="1095">
        <f>+E233+E234</f>
        <v>1300</v>
      </c>
      <c r="F232" s="1096">
        <f>+F233+F234</f>
        <v>0</v>
      </c>
      <c r="H232" s="141">
        <f t="shared" si="16"/>
        <v>0</v>
      </c>
    </row>
    <row r="233" spans="1:28" s="140" customFormat="1">
      <c r="A233" s="127" t="s">
        <v>295</v>
      </c>
      <c r="B233" s="128" t="s">
        <v>289</v>
      </c>
      <c r="C233" s="134">
        <f>+C200</f>
        <v>0</v>
      </c>
      <c r="D233" s="769">
        <f>+D200</f>
        <v>0</v>
      </c>
      <c r="E233" s="770">
        <f>+E200</f>
        <v>0</v>
      </c>
      <c r="F233" s="771">
        <f>+F200</f>
        <v>0</v>
      </c>
      <c r="H233" s="140">
        <f t="shared" si="16"/>
        <v>0</v>
      </c>
    </row>
    <row r="234" spans="1:28" s="140" customFormat="1" ht="12.75" thickBot="1">
      <c r="A234" s="1170" t="s">
        <v>296</v>
      </c>
      <c r="B234" s="1171" t="s">
        <v>290</v>
      </c>
      <c r="C234" s="1172">
        <f>+C195+C196+C197+C198+C199+C201+C202</f>
        <v>13151</v>
      </c>
      <c r="D234" s="1173">
        <f>+D195+D196+D197+D198+D199+D201+D202</f>
        <v>11851</v>
      </c>
      <c r="E234" s="1174">
        <f>+E195+E196+E197+E198+E199+E201+E202</f>
        <v>1300</v>
      </c>
      <c r="F234" s="1175">
        <f>+F195+F196+F197+F198+F199+F201+F202</f>
        <v>0</v>
      </c>
      <c r="H234" s="140">
        <f t="shared" si="16"/>
        <v>0</v>
      </c>
    </row>
    <row r="237" spans="1:28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s="1104" customFormat="1" ht="12.75" thickBot="1">
      <c r="A238" s="1103" t="s">
        <v>284</v>
      </c>
      <c r="F238" s="1105"/>
    </row>
    <row r="239" spans="1:28" s="143" customFormat="1">
      <c r="A239" s="1176" t="s">
        <v>4</v>
      </c>
      <c r="B239" s="1177" t="s">
        <v>91</v>
      </c>
      <c r="C239" s="1178">
        <f>+D239+E239+F239</f>
        <v>1</v>
      </c>
      <c r="D239" s="1179">
        <v>1</v>
      </c>
      <c r="E239" s="1180"/>
      <c r="F239" s="1181"/>
      <c r="H239" s="143">
        <f t="shared" si="16"/>
        <v>0</v>
      </c>
    </row>
    <row r="240" spans="1:28" s="140" customFormat="1">
      <c r="A240" s="1130" t="s">
        <v>351</v>
      </c>
      <c r="B240" s="1182" t="s">
        <v>352</v>
      </c>
      <c r="C240" s="1183">
        <f>+D240+E240+F240</f>
        <v>0</v>
      </c>
      <c r="D240" s="1184"/>
      <c r="E240" s="1185"/>
      <c r="F240" s="1186"/>
      <c r="H240" s="140">
        <f t="shared" si="16"/>
        <v>0</v>
      </c>
    </row>
    <row r="241" spans="1:8" s="143" customFormat="1" ht="12.75" thickBot="1">
      <c r="A241" s="1187" t="s">
        <v>5</v>
      </c>
      <c r="B241" s="1188" t="s">
        <v>92</v>
      </c>
      <c r="C241" s="1189">
        <f>+D241+E241+F241</f>
        <v>121</v>
      </c>
      <c r="D241" s="1190">
        <v>121</v>
      </c>
      <c r="E241" s="1191"/>
      <c r="F241" s="1192"/>
      <c r="H241" s="143">
        <f t="shared" si="16"/>
        <v>0</v>
      </c>
    </row>
    <row r="242" spans="1:8" s="143" customFormat="1" ht="12.75" thickBot="1">
      <c r="A242" s="1113" t="s">
        <v>6</v>
      </c>
      <c r="B242" s="1136" t="s">
        <v>330</v>
      </c>
      <c r="C242" s="1193">
        <f>+C239+C241</f>
        <v>122</v>
      </c>
      <c r="D242" s="1194">
        <f>+D239+D241</f>
        <v>122</v>
      </c>
      <c r="E242" s="1195">
        <f>+E239+E241</f>
        <v>0</v>
      </c>
      <c r="F242" s="1196">
        <f>+F239+F241</f>
        <v>0</v>
      </c>
      <c r="H242" s="143">
        <f t="shared" si="16"/>
        <v>0</v>
      </c>
    </row>
  </sheetData>
  <mergeCells count="9">
    <mergeCell ref="A211:F211"/>
    <mergeCell ref="A218:F218"/>
    <mergeCell ref="A237:F237"/>
    <mergeCell ref="A3:F3"/>
    <mergeCell ref="A4:F4"/>
    <mergeCell ref="A6:F6"/>
    <mergeCell ref="C9:F9"/>
    <mergeCell ref="A105:F105"/>
    <mergeCell ref="C108:F10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1.1. melléklet - &amp;P. oldal</oddHeader>
  </headerFooter>
  <rowBreaks count="1" manualBreakCount="1">
    <brk id="10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>
    <tabColor rgb="FF00B0F0"/>
  </sheetPr>
  <dimension ref="A1:AB242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6" width="9.28515625" style="141" customWidth="1"/>
    <col min="7" max="7" width="0" style="141" hidden="1" customWidth="1"/>
    <col min="8" max="8" width="9.140625" style="141" hidden="1" customWidth="1"/>
    <col min="9" max="16384" width="9.140625" style="141"/>
  </cols>
  <sheetData>
    <row r="1" spans="1:8" s="1100" customFormat="1" ht="15.75">
      <c r="F1" s="1101" t="s">
        <v>355</v>
      </c>
    </row>
    <row r="2" spans="1:8" s="1100" customFormat="1" ht="15.75"/>
    <row r="3" spans="1:8" s="1102" customFormat="1" ht="15.75">
      <c r="A3" s="1441" t="s">
        <v>878</v>
      </c>
      <c r="B3" s="1441"/>
      <c r="C3" s="1441"/>
      <c r="D3" s="1441"/>
      <c r="E3" s="1441"/>
      <c r="F3" s="1441"/>
    </row>
    <row r="4" spans="1:8" s="1102" customFormat="1" ht="15.75">
      <c r="A4" s="1441" t="s">
        <v>1319</v>
      </c>
      <c r="B4" s="1441"/>
      <c r="C4" s="1441"/>
      <c r="D4" s="1441"/>
      <c r="E4" s="1441"/>
      <c r="F4" s="1441"/>
    </row>
    <row r="5" spans="1:8" s="1100" customFormat="1" ht="15.75"/>
    <row r="6" spans="1:8" s="1102" customFormat="1" ht="15.75">
      <c r="A6" s="1441" t="s">
        <v>48</v>
      </c>
      <c r="B6" s="1441"/>
      <c r="C6" s="1441"/>
      <c r="D6" s="1441"/>
      <c r="E6" s="1441"/>
      <c r="F6" s="1441"/>
    </row>
    <row r="7" spans="1:8" s="1104" customFormat="1" ht="12.75" thickBot="1">
      <c r="A7" s="1103" t="s">
        <v>280</v>
      </c>
      <c r="F7" s="1105" t="s">
        <v>281</v>
      </c>
    </row>
    <row r="8" spans="1:8" s="1112" customFormat="1" ht="54" customHeight="1" thickBot="1">
      <c r="A8" s="1106" t="s">
        <v>17</v>
      </c>
      <c r="B8" s="1107" t="s">
        <v>328</v>
      </c>
      <c r="C8" s="1108" t="s">
        <v>1317</v>
      </c>
      <c r="D8" s="1109" t="s">
        <v>51</v>
      </c>
      <c r="E8" s="1110" t="s">
        <v>52</v>
      </c>
      <c r="F8" s="1111" t="s">
        <v>53</v>
      </c>
    </row>
    <row r="9" spans="1:8" s="143" customFormat="1" ht="13.5" customHeight="1" thickBot="1">
      <c r="A9" s="1113" t="s">
        <v>253</v>
      </c>
      <c r="B9" s="1114" t="s">
        <v>254</v>
      </c>
      <c r="C9" s="1448" t="s">
        <v>255</v>
      </c>
      <c r="D9" s="1449"/>
      <c r="E9" s="1449"/>
      <c r="F9" s="1450"/>
    </row>
    <row r="10" spans="1:8" s="143" customFormat="1" ht="12.75" thickBot="1">
      <c r="A10" s="1115" t="s">
        <v>4</v>
      </c>
      <c r="B10" s="1116" t="s">
        <v>297</v>
      </c>
      <c r="C10" s="1117">
        <f>+C11+C25+C32+C44</f>
        <v>38524</v>
      </c>
      <c r="D10" s="1118">
        <f>+D11+D25+D32+D44</f>
        <v>9674</v>
      </c>
      <c r="E10" s="1119">
        <f>+E11+E25+E32+E44</f>
        <v>28850</v>
      </c>
      <c r="F10" s="1120">
        <f>+F11+F25+F32+F44</f>
        <v>0</v>
      </c>
      <c r="H10" s="143">
        <f>+C10-D10-E10-F10</f>
        <v>0</v>
      </c>
    </row>
    <row r="11" spans="1:8" s="143" customFormat="1" ht="12.75" customHeight="1" thickBot="1">
      <c r="A11" s="1113" t="s">
        <v>5</v>
      </c>
      <c r="B11" s="1121" t="s">
        <v>298</v>
      </c>
      <c r="C11" s="130">
        <f>+C12+C19+C20+C21+C22+C23</f>
        <v>0</v>
      </c>
      <c r="D11" s="131">
        <f>+D12+D19+D20+D21+D22+D23</f>
        <v>0</v>
      </c>
      <c r="E11" s="132">
        <f>+E12+E19+E20+E21+E22+E23</f>
        <v>0</v>
      </c>
      <c r="F11" s="133">
        <f>+F12+F19+F20+F21+F22+F23</f>
        <v>0</v>
      </c>
      <c r="H11" s="143">
        <f t="shared" ref="H11:H74" si="0">+C11-D11-E11-F11</f>
        <v>0</v>
      </c>
    </row>
    <row r="12" spans="1:8" s="143" customFormat="1">
      <c r="A12" s="1122" t="s">
        <v>54</v>
      </c>
      <c r="B12" s="135" t="s">
        <v>299</v>
      </c>
      <c r="C12" s="136">
        <f>+C13+C14+C15+C16+C17+C18</f>
        <v>0</v>
      </c>
      <c r="D12" s="1123">
        <f>+D13+D14+D15+D16+D17+D18</f>
        <v>0</v>
      </c>
      <c r="E12" s="1124">
        <f>+E13+E14+E15+E16+E17+E18</f>
        <v>0</v>
      </c>
      <c r="F12" s="1125">
        <f>+F13+F14+F15+F16+F17+F18</f>
        <v>0</v>
      </c>
      <c r="H12" s="141">
        <f t="shared" si="0"/>
        <v>0</v>
      </c>
    </row>
    <row r="13" spans="1:8" s="140" customFormat="1">
      <c r="A13" s="127" t="s">
        <v>190</v>
      </c>
      <c r="B13" s="128" t="s">
        <v>93</v>
      </c>
      <c r="C13" s="134">
        <f>+D13+E13+F13</f>
        <v>0</v>
      </c>
      <c r="D13" s="769"/>
      <c r="E13" s="770"/>
      <c r="F13" s="771"/>
      <c r="H13" s="140">
        <f t="shared" si="0"/>
        <v>0</v>
      </c>
    </row>
    <row r="14" spans="1:8" s="140" customFormat="1">
      <c r="A14" s="127" t="s">
        <v>191</v>
      </c>
      <c r="B14" s="128" t="s">
        <v>94</v>
      </c>
      <c r="C14" s="134">
        <f t="shared" ref="C14:C24" si="1">+D14+E14+F14</f>
        <v>0</v>
      </c>
      <c r="D14" s="769"/>
      <c r="E14" s="770"/>
      <c r="F14" s="771"/>
      <c r="H14" s="140">
        <f t="shared" si="0"/>
        <v>0</v>
      </c>
    </row>
    <row r="15" spans="1:8" s="140" customFormat="1">
      <c r="A15" s="127" t="s">
        <v>192</v>
      </c>
      <c r="B15" s="128" t="s">
        <v>95</v>
      </c>
      <c r="C15" s="134">
        <f t="shared" si="1"/>
        <v>0</v>
      </c>
      <c r="D15" s="769"/>
      <c r="E15" s="770"/>
      <c r="F15" s="771"/>
      <c r="H15" s="140">
        <f t="shared" si="0"/>
        <v>0</v>
      </c>
    </row>
    <row r="16" spans="1:8" s="140" customFormat="1">
      <c r="A16" s="127" t="s">
        <v>193</v>
      </c>
      <c r="B16" s="128" t="s">
        <v>96</v>
      </c>
      <c r="C16" s="134">
        <f t="shared" si="1"/>
        <v>0</v>
      </c>
      <c r="D16" s="769"/>
      <c r="E16" s="770"/>
      <c r="F16" s="771"/>
      <c r="H16" s="140">
        <f t="shared" si="0"/>
        <v>0</v>
      </c>
    </row>
    <row r="17" spans="1:8" s="140" customFormat="1">
      <c r="A17" s="127" t="s">
        <v>194</v>
      </c>
      <c r="B17" s="128" t="s">
        <v>905</v>
      </c>
      <c r="C17" s="134">
        <f t="shared" si="1"/>
        <v>0</v>
      </c>
      <c r="D17" s="769"/>
      <c r="E17" s="770"/>
      <c r="F17" s="771"/>
      <c r="H17" s="140">
        <f t="shared" si="0"/>
        <v>0</v>
      </c>
    </row>
    <row r="18" spans="1:8" s="140" customFormat="1">
      <c r="A18" s="127" t="s">
        <v>195</v>
      </c>
      <c r="B18" s="128" t="s">
        <v>906</v>
      </c>
      <c r="C18" s="134">
        <f t="shared" si="1"/>
        <v>0</v>
      </c>
      <c r="D18" s="769"/>
      <c r="E18" s="770"/>
      <c r="F18" s="771"/>
      <c r="H18" s="140">
        <f t="shared" si="0"/>
        <v>0</v>
      </c>
    </row>
    <row r="19" spans="1:8">
      <c r="A19" s="1126" t="s">
        <v>55</v>
      </c>
      <c r="B19" s="1127" t="s">
        <v>97</v>
      </c>
      <c r="C19" s="129">
        <f t="shared" si="1"/>
        <v>0</v>
      </c>
      <c r="D19" s="1094"/>
      <c r="E19" s="1095"/>
      <c r="F19" s="1096"/>
      <c r="H19" s="141">
        <f t="shared" si="0"/>
        <v>0</v>
      </c>
    </row>
    <row r="20" spans="1:8">
      <c r="A20" s="1126" t="s">
        <v>83</v>
      </c>
      <c r="B20" s="1127" t="s">
        <v>98</v>
      </c>
      <c r="C20" s="129">
        <f t="shared" si="1"/>
        <v>0</v>
      </c>
      <c r="D20" s="1094"/>
      <c r="E20" s="1095"/>
      <c r="F20" s="1096"/>
      <c r="H20" s="141">
        <f t="shared" si="0"/>
        <v>0</v>
      </c>
    </row>
    <row r="21" spans="1:8">
      <c r="A21" s="1126" t="s">
        <v>84</v>
      </c>
      <c r="B21" s="1127" t="s">
        <v>99</v>
      </c>
      <c r="C21" s="129">
        <f t="shared" si="1"/>
        <v>0</v>
      </c>
      <c r="D21" s="1094"/>
      <c r="E21" s="1095"/>
      <c r="F21" s="1096"/>
      <c r="H21" s="141">
        <f t="shared" si="0"/>
        <v>0</v>
      </c>
    </row>
    <row r="22" spans="1:8">
      <c r="A22" s="1126" t="s">
        <v>85</v>
      </c>
      <c r="B22" s="1127" t="s">
        <v>100</v>
      </c>
      <c r="C22" s="129">
        <f t="shared" si="1"/>
        <v>0</v>
      </c>
      <c r="D22" s="1094"/>
      <c r="E22" s="1095"/>
      <c r="F22" s="1096"/>
      <c r="H22" s="141">
        <f t="shared" si="0"/>
        <v>0</v>
      </c>
    </row>
    <row r="23" spans="1:8">
      <c r="A23" s="1128" t="s">
        <v>86</v>
      </c>
      <c r="B23" s="1129" t="s">
        <v>101</v>
      </c>
      <c r="C23" s="142">
        <f t="shared" si="1"/>
        <v>0</v>
      </c>
      <c r="D23" s="1097"/>
      <c r="E23" s="1098"/>
      <c r="F23" s="1099"/>
      <c r="H23" s="141">
        <f t="shared" si="0"/>
        <v>0</v>
      </c>
    </row>
    <row r="24" spans="1:8" s="140" customFormat="1" ht="12.75" thickBot="1">
      <c r="A24" s="1130" t="s">
        <v>332</v>
      </c>
      <c r="B24" s="1131" t="s">
        <v>333</v>
      </c>
      <c r="C24" s="1132">
        <f t="shared" si="1"/>
        <v>0</v>
      </c>
      <c r="D24" s="1133"/>
      <c r="E24" s="1134"/>
      <c r="F24" s="1135"/>
      <c r="H24" s="140">
        <f t="shared" si="0"/>
        <v>0</v>
      </c>
    </row>
    <row r="25" spans="1:8" s="143" customFormat="1" ht="12.75" customHeight="1" thickBot="1">
      <c r="A25" s="1113" t="s">
        <v>6</v>
      </c>
      <c r="B25" s="1121" t="s">
        <v>787</v>
      </c>
      <c r="C25" s="130">
        <f>+C26+C27+C28+C29+C30+C31</f>
        <v>0</v>
      </c>
      <c r="D25" s="131">
        <f>+D26+D27+D28+D29+D30+D31</f>
        <v>0</v>
      </c>
      <c r="E25" s="132">
        <f>+E26+E27+E28+E29+E30+E31</f>
        <v>0</v>
      </c>
      <c r="F25" s="133">
        <f>+F26+F27+F28+F29+F30+F31</f>
        <v>0</v>
      </c>
      <c r="H25" s="143">
        <f t="shared" si="0"/>
        <v>0</v>
      </c>
    </row>
    <row r="26" spans="1:8" ht="12.75" customHeight="1">
      <c r="A26" s="1122" t="s">
        <v>58</v>
      </c>
      <c r="B26" s="135" t="s">
        <v>102</v>
      </c>
      <c r="C26" s="136">
        <f t="shared" ref="C26:C31" si="2">+D26+E26+F26</f>
        <v>0</v>
      </c>
      <c r="D26" s="137"/>
      <c r="E26" s="138"/>
      <c r="F26" s="139"/>
      <c r="H26" s="141">
        <f t="shared" si="0"/>
        <v>0</v>
      </c>
    </row>
    <row r="27" spans="1:8" ht="12.75" customHeight="1">
      <c r="A27" s="1126" t="s">
        <v>59</v>
      </c>
      <c r="B27" s="1127" t="s">
        <v>103</v>
      </c>
      <c r="C27" s="129">
        <f t="shared" si="2"/>
        <v>0</v>
      </c>
      <c r="D27" s="1094"/>
      <c r="E27" s="1095"/>
      <c r="F27" s="1096"/>
      <c r="H27" s="141">
        <f t="shared" si="0"/>
        <v>0</v>
      </c>
    </row>
    <row r="28" spans="1:8" ht="12.75" customHeight="1">
      <c r="A28" s="1126" t="s">
        <v>60</v>
      </c>
      <c r="B28" s="1127" t="s">
        <v>104</v>
      </c>
      <c r="C28" s="129">
        <f t="shared" si="2"/>
        <v>0</v>
      </c>
      <c r="D28" s="1094"/>
      <c r="E28" s="1095"/>
      <c r="F28" s="1096"/>
      <c r="H28" s="141">
        <f t="shared" si="0"/>
        <v>0</v>
      </c>
    </row>
    <row r="29" spans="1:8" ht="12.75" customHeight="1">
      <c r="A29" s="1126" t="s">
        <v>180</v>
      </c>
      <c r="B29" s="1127" t="s">
        <v>105</v>
      </c>
      <c r="C29" s="129">
        <f t="shared" si="2"/>
        <v>0</v>
      </c>
      <c r="D29" s="1094"/>
      <c r="E29" s="1095"/>
      <c r="F29" s="1096"/>
      <c r="H29" s="141">
        <f t="shared" si="0"/>
        <v>0</v>
      </c>
    </row>
    <row r="30" spans="1:8" ht="12.75" customHeight="1">
      <c r="A30" s="1128" t="s">
        <v>181</v>
      </c>
      <c r="B30" s="1129" t="s">
        <v>106</v>
      </c>
      <c r="C30" s="142">
        <f t="shared" si="2"/>
        <v>0</v>
      </c>
      <c r="D30" s="1094"/>
      <c r="E30" s="1095"/>
      <c r="F30" s="1096"/>
      <c r="H30" s="141">
        <f t="shared" si="0"/>
        <v>0</v>
      </c>
    </row>
    <row r="31" spans="1:8" ht="12.75" customHeight="1" thickBot="1">
      <c r="A31" s="1128" t="s">
        <v>786</v>
      </c>
      <c r="B31" s="1129" t="s">
        <v>788</v>
      </c>
      <c r="C31" s="142">
        <f t="shared" si="2"/>
        <v>0</v>
      </c>
      <c r="D31" s="1094"/>
      <c r="E31" s="1095"/>
      <c r="F31" s="1096"/>
      <c r="H31" s="141">
        <f t="shared" si="0"/>
        <v>0</v>
      </c>
    </row>
    <row r="32" spans="1:8" s="143" customFormat="1" ht="12.75" customHeight="1" thickBot="1">
      <c r="A32" s="1113" t="s">
        <v>3</v>
      </c>
      <c r="B32" s="1121" t="s">
        <v>981</v>
      </c>
      <c r="C32" s="130">
        <f>+C33+C34+C35+C36+C37+C38+C39+C40+C41+C42+C43</f>
        <v>38524</v>
      </c>
      <c r="D32" s="131">
        <f>+D33+D34+D35+D36+D37+D38+D39+D40+D41+D42+D43</f>
        <v>9674</v>
      </c>
      <c r="E32" s="132">
        <f>+E33+E34+E35+E36+E37+E38+E39+E40+E41+E42+E43</f>
        <v>28850</v>
      </c>
      <c r="F32" s="133">
        <f>+F33+F34+F35+F36+F37+F38+F39+F40+F41+F42+F43</f>
        <v>0</v>
      </c>
      <c r="H32" s="143">
        <f t="shared" si="0"/>
        <v>0</v>
      </c>
    </row>
    <row r="33" spans="1:8" ht="12.75" customHeight="1">
      <c r="A33" s="1122" t="s">
        <v>61</v>
      </c>
      <c r="B33" s="135" t="s">
        <v>107</v>
      </c>
      <c r="C33" s="136">
        <f t="shared" ref="C33:C43" si="3">+D33+E33+F33</f>
        <v>0</v>
      </c>
      <c r="D33" s="137"/>
      <c r="E33" s="138"/>
      <c r="F33" s="139"/>
      <c r="H33" s="141">
        <f t="shared" si="0"/>
        <v>0</v>
      </c>
    </row>
    <row r="34" spans="1:8" ht="12.75" customHeight="1">
      <c r="A34" s="1126" t="s">
        <v>62</v>
      </c>
      <c r="B34" s="1127" t="s">
        <v>108</v>
      </c>
      <c r="C34" s="129">
        <f t="shared" si="3"/>
        <v>23727</v>
      </c>
      <c r="D34" s="1094">
        <v>1000</v>
      </c>
      <c r="E34" s="1095">
        <v>22727</v>
      </c>
      <c r="F34" s="1096"/>
      <c r="H34" s="141">
        <f t="shared" si="0"/>
        <v>0</v>
      </c>
    </row>
    <row r="35" spans="1:8" ht="12.75" customHeight="1">
      <c r="A35" s="1126" t="s">
        <v>63</v>
      </c>
      <c r="B35" s="1127" t="s">
        <v>109</v>
      </c>
      <c r="C35" s="129">
        <f t="shared" si="3"/>
        <v>6830</v>
      </c>
      <c r="D35" s="1094">
        <v>6830</v>
      </c>
      <c r="E35" s="1095"/>
      <c r="F35" s="1096"/>
      <c r="H35" s="141">
        <f t="shared" si="0"/>
        <v>0</v>
      </c>
    </row>
    <row r="36" spans="1:8" ht="12.75" customHeight="1">
      <c r="A36" s="1126" t="s">
        <v>64</v>
      </c>
      <c r="B36" s="1127" t="s">
        <v>110</v>
      </c>
      <c r="C36" s="129">
        <f t="shared" si="3"/>
        <v>0</v>
      </c>
      <c r="D36" s="1094"/>
      <c r="E36" s="1095"/>
      <c r="F36" s="1096"/>
      <c r="H36" s="141">
        <f t="shared" si="0"/>
        <v>0</v>
      </c>
    </row>
    <row r="37" spans="1:8" ht="12.75" customHeight="1">
      <c r="A37" s="1126" t="s">
        <v>65</v>
      </c>
      <c r="B37" s="1127" t="s">
        <v>111</v>
      </c>
      <c r="C37" s="129">
        <f t="shared" si="3"/>
        <v>0</v>
      </c>
      <c r="D37" s="1094"/>
      <c r="E37" s="1095"/>
      <c r="F37" s="1096"/>
      <c r="H37" s="141">
        <f t="shared" si="0"/>
        <v>0</v>
      </c>
    </row>
    <row r="38" spans="1:8" ht="12.75" customHeight="1">
      <c r="A38" s="1126" t="s">
        <v>222</v>
      </c>
      <c r="B38" s="1127" t="s">
        <v>112</v>
      </c>
      <c r="C38" s="129">
        <f t="shared" si="3"/>
        <v>7967</v>
      </c>
      <c r="D38" s="1094">
        <v>1844</v>
      </c>
      <c r="E38" s="1095">
        <v>6123</v>
      </c>
      <c r="F38" s="1096"/>
      <c r="H38" s="141">
        <f t="shared" si="0"/>
        <v>0</v>
      </c>
    </row>
    <row r="39" spans="1:8" ht="12.75" customHeight="1">
      <c r="A39" s="1126" t="s">
        <v>223</v>
      </c>
      <c r="B39" s="1127" t="s">
        <v>113</v>
      </c>
      <c r="C39" s="129">
        <f t="shared" si="3"/>
        <v>0</v>
      </c>
      <c r="D39" s="1094"/>
      <c r="E39" s="1095"/>
      <c r="F39" s="1096"/>
      <c r="H39" s="141">
        <f t="shared" si="0"/>
        <v>0</v>
      </c>
    </row>
    <row r="40" spans="1:8" ht="12.75" customHeight="1">
      <c r="A40" s="1126" t="s">
        <v>224</v>
      </c>
      <c r="B40" s="1127" t="s">
        <v>991</v>
      </c>
      <c r="C40" s="129">
        <f t="shared" si="3"/>
        <v>0</v>
      </c>
      <c r="D40" s="1094"/>
      <c r="E40" s="1095"/>
      <c r="F40" s="1096"/>
      <c r="H40" s="141">
        <f t="shared" si="0"/>
        <v>0</v>
      </c>
    </row>
    <row r="41" spans="1:8" ht="12.75" customHeight="1">
      <c r="A41" s="1126" t="s">
        <v>225</v>
      </c>
      <c r="B41" s="1127" t="s">
        <v>114</v>
      </c>
      <c r="C41" s="129">
        <f t="shared" si="3"/>
        <v>0</v>
      </c>
      <c r="D41" s="1094"/>
      <c r="E41" s="1095"/>
      <c r="F41" s="1096"/>
      <c r="H41" s="141">
        <f t="shared" si="0"/>
        <v>0</v>
      </c>
    </row>
    <row r="42" spans="1:8" ht="12.75" customHeight="1">
      <c r="A42" s="1128" t="s">
        <v>226</v>
      </c>
      <c r="B42" s="1129" t="s">
        <v>908</v>
      </c>
      <c r="C42" s="129">
        <f>+D42+E42+F42</f>
        <v>0</v>
      </c>
      <c r="D42" s="1094"/>
      <c r="E42" s="1095"/>
      <c r="F42" s="1096"/>
      <c r="H42" s="141">
        <f t="shared" si="0"/>
        <v>0</v>
      </c>
    </row>
    <row r="43" spans="1:8" ht="12.75" customHeight="1" thickBot="1">
      <c r="A43" s="1128" t="s">
        <v>907</v>
      </c>
      <c r="B43" s="1129" t="s">
        <v>909</v>
      </c>
      <c r="C43" s="142">
        <f t="shared" si="3"/>
        <v>0</v>
      </c>
      <c r="D43" s="1097"/>
      <c r="E43" s="1098"/>
      <c r="F43" s="1099"/>
      <c r="H43" s="141">
        <f t="shared" si="0"/>
        <v>0</v>
      </c>
    </row>
    <row r="44" spans="1:8" s="143" customFormat="1" ht="12.75" thickBot="1">
      <c r="A44" s="1113" t="s">
        <v>16</v>
      </c>
      <c r="B44" s="1121" t="s">
        <v>982</v>
      </c>
      <c r="C44" s="130">
        <f>+C45+C46+C47+C48+C49</f>
        <v>0</v>
      </c>
      <c r="D44" s="131">
        <f>+D45+D46+D47+D48+D49</f>
        <v>0</v>
      </c>
      <c r="E44" s="132">
        <f>+E45+E46+E47+E48+E49</f>
        <v>0</v>
      </c>
      <c r="F44" s="133">
        <f>+F45+F46+F47+F48+F49</f>
        <v>0</v>
      </c>
      <c r="H44" s="143">
        <f t="shared" si="0"/>
        <v>0</v>
      </c>
    </row>
    <row r="45" spans="1:8" ht="12.75" customHeight="1">
      <c r="A45" s="1122" t="s">
        <v>227</v>
      </c>
      <c r="B45" s="135" t="s">
        <v>115</v>
      </c>
      <c r="C45" s="136">
        <f>+D45+E45+F45</f>
        <v>0</v>
      </c>
      <c r="D45" s="137"/>
      <c r="E45" s="138"/>
      <c r="F45" s="139"/>
      <c r="H45" s="141">
        <f t="shared" si="0"/>
        <v>0</v>
      </c>
    </row>
    <row r="46" spans="1:8" ht="12.75" customHeight="1">
      <c r="A46" s="1122" t="s">
        <v>228</v>
      </c>
      <c r="B46" s="135" t="s">
        <v>910</v>
      </c>
      <c r="C46" s="136">
        <f>+D46+E46+F46</f>
        <v>0</v>
      </c>
      <c r="D46" s="137"/>
      <c r="E46" s="138"/>
      <c r="F46" s="139"/>
      <c r="H46" s="141">
        <f t="shared" si="0"/>
        <v>0</v>
      </c>
    </row>
    <row r="47" spans="1:8" ht="12.75" customHeight="1">
      <c r="A47" s="1122" t="s">
        <v>229</v>
      </c>
      <c r="B47" s="135" t="s">
        <v>911</v>
      </c>
      <c r="C47" s="136">
        <f>+D47+E47+F47</f>
        <v>0</v>
      </c>
      <c r="D47" s="137"/>
      <c r="E47" s="138"/>
      <c r="F47" s="139"/>
      <c r="H47" s="141">
        <f t="shared" si="0"/>
        <v>0</v>
      </c>
    </row>
    <row r="48" spans="1:8" ht="12.75" customHeight="1">
      <c r="A48" s="1126" t="s">
        <v>257</v>
      </c>
      <c r="B48" s="1127" t="s">
        <v>912</v>
      </c>
      <c r="C48" s="129">
        <f>+D48+E48+F48</f>
        <v>0</v>
      </c>
      <c r="D48" s="1094"/>
      <c r="E48" s="1095"/>
      <c r="F48" s="1096"/>
      <c r="H48" s="141">
        <f t="shared" si="0"/>
        <v>0</v>
      </c>
    </row>
    <row r="49" spans="1:8" ht="12.75" customHeight="1" thickBot="1">
      <c r="A49" s="1128" t="s">
        <v>258</v>
      </c>
      <c r="B49" s="1129" t="s">
        <v>913</v>
      </c>
      <c r="C49" s="142">
        <f>+D49+E49+F49</f>
        <v>0</v>
      </c>
      <c r="D49" s="1097"/>
      <c r="E49" s="1098"/>
      <c r="F49" s="1099"/>
      <c r="H49" s="141">
        <f t="shared" si="0"/>
        <v>0</v>
      </c>
    </row>
    <row r="50" spans="1:8" s="143" customFormat="1" ht="12.75" thickBot="1">
      <c r="A50" s="1113" t="s">
        <v>15</v>
      </c>
      <c r="B50" s="1136" t="s">
        <v>300</v>
      </c>
      <c r="C50" s="130">
        <f>+C51+C58+C64</f>
        <v>0</v>
      </c>
      <c r="D50" s="131">
        <f>+D51+D58+D64</f>
        <v>0</v>
      </c>
      <c r="E50" s="132">
        <f>+E51+E58+E64</f>
        <v>0</v>
      </c>
      <c r="F50" s="133">
        <f>+F51+F58+F64</f>
        <v>0</v>
      </c>
      <c r="H50" s="143">
        <f t="shared" si="0"/>
        <v>0</v>
      </c>
    </row>
    <row r="51" spans="1:8" s="143" customFormat="1" ht="12.75" customHeight="1" thickBot="1">
      <c r="A51" s="1113" t="s">
        <v>14</v>
      </c>
      <c r="B51" s="1121" t="s">
        <v>301</v>
      </c>
      <c r="C51" s="130">
        <f>+C52+C53+C54+C55+C56</f>
        <v>0</v>
      </c>
      <c r="D51" s="131">
        <f>+D52+D53+D54+D55+D56</f>
        <v>0</v>
      </c>
      <c r="E51" s="132">
        <f>+E52+E53+E54+E55+E56</f>
        <v>0</v>
      </c>
      <c r="F51" s="133">
        <f>+F52+F53+F54+F55+F56</f>
        <v>0</v>
      </c>
      <c r="H51" s="143">
        <f t="shared" si="0"/>
        <v>0</v>
      </c>
    </row>
    <row r="52" spans="1:8">
      <c r="A52" s="1122" t="s">
        <v>185</v>
      </c>
      <c r="B52" s="135" t="s">
        <v>116</v>
      </c>
      <c r="C52" s="136">
        <f t="shared" ref="C52:C57" si="4">+D52+E52+F52</f>
        <v>0</v>
      </c>
      <c r="D52" s="137"/>
      <c r="E52" s="138"/>
      <c r="F52" s="139"/>
      <c r="H52" s="141">
        <f t="shared" si="0"/>
        <v>0</v>
      </c>
    </row>
    <row r="53" spans="1:8">
      <c r="A53" s="1126" t="s">
        <v>186</v>
      </c>
      <c r="B53" s="1127" t="s">
        <v>117</v>
      </c>
      <c r="C53" s="129">
        <f t="shared" si="4"/>
        <v>0</v>
      </c>
      <c r="D53" s="1094"/>
      <c r="E53" s="1095"/>
      <c r="F53" s="1096"/>
      <c r="H53" s="141">
        <f t="shared" si="0"/>
        <v>0</v>
      </c>
    </row>
    <row r="54" spans="1:8">
      <c r="A54" s="1126" t="s">
        <v>187</v>
      </c>
      <c r="B54" s="1127" t="s">
        <v>118</v>
      </c>
      <c r="C54" s="129">
        <f t="shared" si="4"/>
        <v>0</v>
      </c>
      <c r="D54" s="1094"/>
      <c r="E54" s="1095"/>
      <c r="F54" s="1096"/>
      <c r="H54" s="141">
        <f t="shared" si="0"/>
        <v>0</v>
      </c>
    </row>
    <row r="55" spans="1:8">
      <c r="A55" s="1126" t="s">
        <v>188</v>
      </c>
      <c r="B55" s="1127" t="s">
        <v>119</v>
      </c>
      <c r="C55" s="129">
        <f t="shared" si="4"/>
        <v>0</v>
      </c>
      <c r="D55" s="1094"/>
      <c r="E55" s="1095"/>
      <c r="F55" s="1096"/>
      <c r="H55" s="141">
        <f t="shared" si="0"/>
        <v>0</v>
      </c>
    </row>
    <row r="56" spans="1:8">
      <c r="A56" s="1128" t="s">
        <v>189</v>
      </c>
      <c r="B56" s="1129" t="s">
        <v>120</v>
      </c>
      <c r="C56" s="142">
        <f t="shared" si="4"/>
        <v>0</v>
      </c>
      <c r="D56" s="1097"/>
      <c r="E56" s="1098"/>
      <c r="F56" s="1099"/>
      <c r="H56" s="141">
        <f t="shared" si="0"/>
        <v>0</v>
      </c>
    </row>
    <row r="57" spans="1:8" s="140" customFormat="1" ht="12.75" thickBot="1">
      <c r="A57" s="1130" t="s">
        <v>334</v>
      </c>
      <c r="B57" s="1131" t="s">
        <v>338</v>
      </c>
      <c r="C57" s="1132">
        <f t="shared" si="4"/>
        <v>0</v>
      </c>
      <c r="D57" s="1133"/>
      <c r="E57" s="1134"/>
      <c r="F57" s="1135"/>
      <c r="H57" s="140">
        <f t="shared" si="0"/>
        <v>0</v>
      </c>
    </row>
    <row r="58" spans="1:8" s="143" customFormat="1" ht="12.75" customHeight="1" thickBot="1">
      <c r="A58" s="1113" t="s">
        <v>13</v>
      </c>
      <c r="B58" s="1121" t="s">
        <v>302</v>
      </c>
      <c r="C58" s="130">
        <f>+C59+C60+C61+C62+C63</f>
        <v>0</v>
      </c>
      <c r="D58" s="131">
        <f>+D59+D60+D61+D62+D63</f>
        <v>0</v>
      </c>
      <c r="E58" s="132">
        <f>+E59+E60+E61+E62+E63</f>
        <v>0</v>
      </c>
      <c r="F58" s="133">
        <f>+F59+F60+F61+F62+F63</f>
        <v>0</v>
      </c>
      <c r="H58" s="143">
        <f t="shared" si="0"/>
        <v>0</v>
      </c>
    </row>
    <row r="59" spans="1:8" ht="12.75" customHeight="1">
      <c r="A59" s="1122" t="s">
        <v>66</v>
      </c>
      <c r="B59" s="135" t="s">
        <v>121</v>
      </c>
      <c r="C59" s="136">
        <f>+D59+E59+F59</f>
        <v>0</v>
      </c>
      <c r="D59" s="137"/>
      <c r="E59" s="138"/>
      <c r="F59" s="139"/>
      <c r="H59" s="141">
        <f t="shared" si="0"/>
        <v>0</v>
      </c>
    </row>
    <row r="60" spans="1:8" ht="12.75" customHeight="1">
      <c r="A60" s="1126" t="s">
        <v>67</v>
      </c>
      <c r="B60" s="1127" t="s">
        <v>122</v>
      </c>
      <c r="C60" s="129">
        <f>+D60+E60+F60</f>
        <v>0</v>
      </c>
      <c r="D60" s="1094"/>
      <c r="E60" s="1095"/>
      <c r="F60" s="1096"/>
      <c r="H60" s="141">
        <f t="shared" si="0"/>
        <v>0</v>
      </c>
    </row>
    <row r="61" spans="1:8" ht="12.75" customHeight="1">
      <c r="A61" s="1126" t="s">
        <v>68</v>
      </c>
      <c r="B61" s="1127" t="s">
        <v>123</v>
      </c>
      <c r="C61" s="129">
        <f>+D61+E61+F61</f>
        <v>0</v>
      </c>
      <c r="D61" s="1094"/>
      <c r="E61" s="1095"/>
      <c r="F61" s="1096"/>
      <c r="H61" s="141">
        <f t="shared" si="0"/>
        <v>0</v>
      </c>
    </row>
    <row r="62" spans="1:8" ht="12.75" customHeight="1">
      <c r="A62" s="1126" t="s">
        <v>230</v>
      </c>
      <c r="B62" s="1127" t="s">
        <v>124</v>
      </c>
      <c r="C62" s="129">
        <f>+D62+E62+F62</f>
        <v>0</v>
      </c>
      <c r="D62" s="1094"/>
      <c r="E62" s="1095"/>
      <c r="F62" s="1096"/>
      <c r="H62" s="141">
        <f t="shared" si="0"/>
        <v>0</v>
      </c>
    </row>
    <row r="63" spans="1:8" ht="12.75" customHeight="1" thickBot="1">
      <c r="A63" s="1128" t="s">
        <v>231</v>
      </c>
      <c r="B63" s="1129" t="s">
        <v>125</v>
      </c>
      <c r="C63" s="142">
        <f>+D63+E63+F63</f>
        <v>0</v>
      </c>
      <c r="D63" s="1097"/>
      <c r="E63" s="1098"/>
      <c r="F63" s="1099"/>
      <c r="H63" s="141">
        <f t="shared" si="0"/>
        <v>0</v>
      </c>
    </row>
    <row r="64" spans="1:8" s="143" customFormat="1" ht="12.75" thickBot="1">
      <c r="A64" s="1113" t="s">
        <v>12</v>
      </c>
      <c r="B64" s="1121" t="s">
        <v>917</v>
      </c>
      <c r="C64" s="130">
        <f>+C65+C66+C67+C68+C69</f>
        <v>0</v>
      </c>
      <c r="D64" s="131">
        <f>+D65+D66+D67+D68+D69</f>
        <v>0</v>
      </c>
      <c r="E64" s="132">
        <f>+E65+E66+E67+E68+E69</f>
        <v>0</v>
      </c>
      <c r="F64" s="133">
        <f>+F65+F66+F67+F68+F69</f>
        <v>0</v>
      </c>
      <c r="H64" s="143">
        <f t="shared" si="0"/>
        <v>0</v>
      </c>
    </row>
    <row r="65" spans="1:8">
      <c r="A65" s="1122" t="s">
        <v>69</v>
      </c>
      <c r="B65" s="135" t="s">
        <v>126</v>
      </c>
      <c r="C65" s="136">
        <f>+D65+E65+F65</f>
        <v>0</v>
      </c>
      <c r="D65" s="137"/>
      <c r="E65" s="138"/>
      <c r="F65" s="139"/>
      <c r="H65" s="141">
        <f t="shared" si="0"/>
        <v>0</v>
      </c>
    </row>
    <row r="66" spans="1:8">
      <c r="A66" s="1122" t="s">
        <v>70</v>
      </c>
      <c r="B66" s="135" t="s">
        <v>918</v>
      </c>
      <c r="C66" s="136">
        <f>+D66+E66+F66</f>
        <v>0</v>
      </c>
      <c r="D66" s="137"/>
      <c r="E66" s="138"/>
      <c r="F66" s="139"/>
      <c r="H66" s="141">
        <f t="shared" si="0"/>
        <v>0</v>
      </c>
    </row>
    <row r="67" spans="1:8">
      <c r="A67" s="1122" t="s">
        <v>71</v>
      </c>
      <c r="B67" s="135" t="s">
        <v>919</v>
      </c>
      <c r="C67" s="136">
        <f>+D67+E67+F67</f>
        <v>0</v>
      </c>
      <c r="D67" s="137"/>
      <c r="E67" s="138"/>
      <c r="F67" s="139"/>
      <c r="H67" s="141">
        <f t="shared" si="0"/>
        <v>0</v>
      </c>
    </row>
    <row r="68" spans="1:8">
      <c r="A68" s="1126" t="s">
        <v>72</v>
      </c>
      <c r="B68" s="1127" t="s">
        <v>915</v>
      </c>
      <c r="C68" s="129">
        <f>+D68+E68+F68</f>
        <v>0</v>
      </c>
      <c r="D68" s="1094"/>
      <c r="E68" s="1095"/>
      <c r="F68" s="1096"/>
      <c r="H68" s="141">
        <f t="shared" si="0"/>
        <v>0</v>
      </c>
    </row>
    <row r="69" spans="1:8" ht="12.75" thickBot="1">
      <c r="A69" s="1128" t="s">
        <v>914</v>
      </c>
      <c r="B69" s="1129" t="s">
        <v>916</v>
      </c>
      <c r="C69" s="142">
        <f>+D69+E69+F69</f>
        <v>0</v>
      </c>
      <c r="D69" s="1097"/>
      <c r="E69" s="1098"/>
      <c r="F69" s="1099"/>
      <c r="H69" s="141">
        <f t="shared" si="0"/>
        <v>0</v>
      </c>
    </row>
    <row r="70" spans="1:8" s="143" customFormat="1" ht="12.75" thickBot="1">
      <c r="A70" s="1113" t="s">
        <v>11</v>
      </c>
      <c r="B70" s="1136" t="s">
        <v>303</v>
      </c>
      <c r="C70" s="130">
        <f>+C10+C50</f>
        <v>38524</v>
      </c>
      <c r="D70" s="131">
        <f>+D10+D50</f>
        <v>9674</v>
      </c>
      <c r="E70" s="132">
        <f>+E10+E50</f>
        <v>28850</v>
      </c>
      <c r="F70" s="133">
        <f>+F10+F50</f>
        <v>0</v>
      </c>
      <c r="H70" s="143">
        <f t="shared" si="0"/>
        <v>0</v>
      </c>
    </row>
    <row r="71" spans="1:8" s="143" customFormat="1" ht="12.75" thickBot="1">
      <c r="A71" s="1113" t="s">
        <v>10</v>
      </c>
      <c r="B71" s="1137" t="s">
        <v>304</v>
      </c>
      <c r="C71" s="130">
        <f>+C72</f>
        <v>346784</v>
      </c>
      <c r="D71" s="131">
        <f>+D72</f>
        <v>337596</v>
      </c>
      <c r="E71" s="132">
        <f>+E72</f>
        <v>9188</v>
      </c>
      <c r="F71" s="133">
        <f>+F72</f>
        <v>0</v>
      </c>
      <c r="H71" s="143">
        <f t="shared" si="0"/>
        <v>0</v>
      </c>
    </row>
    <row r="72" spans="1:8" s="143" customFormat="1" ht="12.75" thickBot="1">
      <c r="A72" s="1113" t="s">
        <v>9</v>
      </c>
      <c r="B72" s="1121" t="s">
        <v>926</v>
      </c>
      <c r="C72" s="130">
        <f>+C73+C83+C84+C85</f>
        <v>346784</v>
      </c>
      <c r="D72" s="131">
        <f>+D73+D83+D84+D85</f>
        <v>337596</v>
      </c>
      <c r="E72" s="132">
        <f>+E73+E83+E84+E85</f>
        <v>9188</v>
      </c>
      <c r="F72" s="133">
        <f>+F73+F83+F84+F85</f>
        <v>0</v>
      </c>
      <c r="H72" s="143">
        <f t="shared" si="0"/>
        <v>0</v>
      </c>
    </row>
    <row r="73" spans="1:8">
      <c r="A73" s="1122" t="s">
        <v>73</v>
      </c>
      <c r="B73" s="135" t="s">
        <v>921</v>
      </c>
      <c r="C73" s="136">
        <f>+C74+C75+C76+C77+C78+C79+C80+C81+C82</f>
        <v>346784</v>
      </c>
      <c r="D73" s="137">
        <f>+D74+D75+D76+D77+D78+D79+D80+D81+D82</f>
        <v>337596</v>
      </c>
      <c r="E73" s="138">
        <f>+E74+E75+E76+E77+E78+E79+E80+E81+E82</f>
        <v>9188</v>
      </c>
      <c r="F73" s="139">
        <f>+F74+F75+F76+F77+F78+F79+F80+F81+F82</f>
        <v>0</v>
      </c>
      <c r="H73" s="141">
        <f t="shared" si="0"/>
        <v>0</v>
      </c>
    </row>
    <row r="74" spans="1:8" s="140" customFormat="1">
      <c r="A74" s="127" t="s">
        <v>196</v>
      </c>
      <c r="B74" s="128" t="s">
        <v>920</v>
      </c>
      <c r="C74" s="134">
        <f t="shared" ref="C74:C84" si="5">+D74+E74+F74</f>
        <v>0</v>
      </c>
      <c r="D74" s="769"/>
      <c r="E74" s="770"/>
      <c r="F74" s="771"/>
      <c r="H74" s="140">
        <f t="shared" si="0"/>
        <v>0</v>
      </c>
    </row>
    <row r="75" spans="1:8" s="140" customFormat="1">
      <c r="A75" s="127" t="s">
        <v>197</v>
      </c>
      <c r="B75" s="128" t="s">
        <v>247</v>
      </c>
      <c r="C75" s="134">
        <f t="shared" si="5"/>
        <v>0</v>
      </c>
      <c r="D75" s="769"/>
      <c r="E75" s="770"/>
      <c r="F75" s="771"/>
      <c r="H75" s="140">
        <f t="shared" ref="H75:H138" si="6">+C75-D75-E75-F75</f>
        <v>0</v>
      </c>
    </row>
    <row r="76" spans="1:8" s="140" customFormat="1">
      <c r="A76" s="127" t="s">
        <v>198</v>
      </c>
      <c r="B76" s="128" t="s">
        <v>248</v>
      </c>
      <c r="C76" s="134">
        <f t="shared" si="5"/>
        <v>0</v>
      </c>
      <c r="D76" s="769"/>
      <c r="E76" s="770"/>
      <c r="F76" s="771"/>
      <c r="H76" s="140">
        <f t="shared" si="6"/>
        <v>0</v>
      </c>
    </row>
    <row r="77" spans="1:8" s="140" customFormat="1">
      <c r="A77" s="127" t="s">
        <v>199</v>
      </c>
      <c r="B77" s="128" t="s">
        <v>249</v>
      </c>
      <c r="C77" s="134">
        <f t="shared" si="5"/>
        <v>0</v>
      </c>
      <c r="D77" s="769"/>
      <c r="E77" s="770"/>
      <c r="F77" s="771"/>
      <c r="H77" s="140">
        <f t="shared" si="6"/>
        <v>0</v>
      </c>
    </row>
    <row r="78" spans="1:8" s="140" customFormat="1">
      <c r="A78" s="127" t="s">
        <v>200</v>
      </c>
      <c r="B78" s="128" t="s">
        <v>250</v>
      </c>
      <c r="C78" s="134">
        <f t="shared" si="5"/>
        <v>0</v>
      </c>
      <c r="D78" s="769"/>
      <c r="E78" s="770"/>
      <c r="F78" s="771"/>
      <c r="H78" s="140">
        <f t="shared" si="6"/>
        <v>0</v>
      </c>
    </row>
    <row r="79" spans="1:8" s="140" customFormat="1">
      <c r="A79" s="127" t="s">
        <v>201</v>
      </c>
      <c r="B79" s="128" t="s">
        <v>251</v>
      </c>
      <c r="C79" s="134">
        <f t="shared" si="5"/>
        <v>346784</v>
      </c>
      <c r="D79" s="769">
        <f>+D109-D10+D178-D74-D75-D76-D77-D78-D80-D81-D83-D84-D85</f>
        <v>337596</v>
      </c>
      <c r="E79" s="770">
        <f>+E109-E10+E178-E74-E75-E76-E77-E78-E80-E81-E83-E84-E85</f>
        <v>9188</v>
      </c>
      <c r="F79" s="771">
        <f>+F109-F10+F178-F74-F75-F76-F77-F78-F80-F81-F83-F84-F85</f>
        <v>0</v>
      </c>
      <c r="H79" s="140">
        <f t="shared" si="6"/>
        <v>0</v>
      </c>
    </row>
    <row r="80" spans="1:8" s="140" customFormat="1">
      <c r="A80" s="127" t="s">
        <v>204</v>
      </c>
      <c r="B80" s="128" t="s">
        <v>252</v>
      </c>
      <c r="C80" s="134">
        <f t="shared" si="5"/>
        <v>0</v>
      </c>
      <c r="D80" s="769"/>
      <c r="E80" s="770"/>
      <c r="F80" s="771"/>
      <c r="H80" s="140">
        <f t="shared" si="6"/>
        <v>0</v>
      </c>
    </row>
    <row r="81" spans="1:8" s="140" customFormat="1">
      <c r="A81" s="127" t="s">
        <v>202</v>
      </c>
      <c r="B81" s="128" t="s">
        <v>245</v>
      </c>
      <c r="C81" s="134">
        <f t="shared" si="5"/>
        <v>0</v>
      </c>
      <c r="D81" s="769"/>
      <c r="E81" s="770"/>
      <c r="F81" s="771"/>
      <c r="H81" s="140">
        <f t="shared" si="6"/>
        <v>0</v>
      </c>
    </row>
    <row r="82" spans="1:8" s="140" customFormat="1">
      <c r="A82" s="127" t="s">
        <v>922</v>
      </c>
      <c r="B82" s="128" t="s">
        <v>923</v>
      </c>
      <c r="C82" s="134">
        <f>+D82+E82+F82</f>
        <v>0</v>
      </c>
      <c r="D82" s="769"/>
      <c r="E82" s="770"/>
      <c r="F82" s="771"/>
      <c r="H82" s="140">
        <f t="shared" si="6"/>
        <v>0</v>
      </c>
    </row>
    <row r="83" spans="1:8">
      <c r="A83" s="1126" t="s">
        <v>74</v>
      </c>
      <c r="B83" s="1127" t="s">
        <v>243</v>
      </c>
      <c r="C83" s="129">
        <f t="shared" si="5"/>
        <v>0</v>
      </c>
      <c r="D83" s="1094"/>
      <c r="E83" s="1095"/>
      <c r="F83" s="1096"/>
      <c r="H83" s="141">
        <f t="shared" si="6"/>
        <v>0</v>
      </c>
    </row>
    <row r="84" spans="1:8">
      <c r="A84" s="1128" t="s">
        <v>203</v>
      </c>
      <c r="B84" s="1129" t="s">
        <v>244</v>
      </c>
      <c r="C84" s="142">
        <f t="shared" si="5"/>
        <v>0</v>
      </c>
      <c r="D84" s="1097"/>
      <c r="E84" s="1098"/>
      <c r="F84" s="1099"/>
      <c r="H84" s="141">
        <f t="shared" si="6"/>
        <v>0</v>
      </c>
    </row>
    <row r="85" spans="1:8" ht="12.75" thickBot="1">
      <c r="A85" s="1128" t="s">
        <v>924</v>
      </c>
      <c r="B85" s="1129" t="s">
        <v>925</v>
      </c>
      <c r="C85" s="142">
        <f>+D85+E85+F85</f>
        <v>0</v>
      </c>
      <c r="D85" s="1097"/>
      <c r="E85" s="1098"/>
      <c r="F85" s="1099"/>
      <c r="H85" s="141">
        <f t="shared" si="6"/>
        <v>0</v>
      </c>
    </row>
    <row r="86" spans="1:8" s="143" customFormat="1" ht="12.75" thickBot="1">
      <c r="A86" s="1113" t="s">
        <v>45</v>
      </c>
      <c r="B86" s="1137" t="s">
        <v>305</v>
      </c>
      <c r="C86" s="130">
        <f>+C87</f>
        <v>0</v>
      </c>
      <c r="D86" s="131">
        <f>+D87</f>
        <v>0</v>
      </c>
      <c r="E86" s="132">
        <f>+E87</f>
        <v>0</v>
      </c>
      <c r="F86" s="133">
        <f>+F87</f>
        <v>0</v>
      </c>
      <c r="H86" s="143">
        <f t="shared" si="6"/>
        <v>0</v>
      </c>
    </row>
    <row r="87" spans="1:8" s="143" customFormat="1" ht="12.75" thickBot="1">
      <c r="A87" s="1113" t="s">
        <v>44</v>
      </c>
      <c r="B87" s="1121" t="s">
        <v>928</v>
      </c>
      <c r="C87" s="130">
        <f>+C88+C98+C99+C100</f>
        <v>0</v>
      </c>
      <c r="D87" s="131">
        <f>+D88+D98+D99+D100</f>
        <v>0</v>
      </c>
      <c r="E87" s="132">
        <f>+E88+E98+E99+E100</f>
        <v>0</v>
      </c>
      <c r="F87" s="133">
        <f>+F88+F98+F99+F100</f>
        <v>0</v>
      </c>
      <c r="H87" s="143">
        <f t="shared" si="6"/>
        <v>0</v>
      </c>
    </row>
    <row r="88" spans="1:8">
      <c r="A88" s="1122" t="s">
        <v>232</v>
      </c>
      <c r="B88" s="135" t="s">
        <v>983</v>
      </c>
      <c r="C88" s="136">
        <f>+C89+C90+C91+C92+C93+C94+C95+C96+C97</f>
        <v>0</v>
      </c>
      <c r="D88" s="137">
        <f>+D89+D90+D91+D92+D93+D94+D95+D96+D97</f>
        <v>0</v>
      </c>
      <c r="E88" s="138">
        <f>+E89+E90+E91+E92+E93+E94+E95+E96+E97</f>
        <v>0</v>
      </c>
      <c r="F88" s="139">
        <f>+F89+F90+F91+F92+F93+F94+F95+F96+F97</f>
        <v>0</v>
      </c>
      <c r="H88" s="141">
        <f t="shared" si="6"/>
        <v>0</v>
      </c>
    </row>
    <row r="89" spans="1:8" s="140" customFormat="1">
      <c r="A89" s="127" t="s">
        <v>233</v>
      </c>
      <c r="B89" s="128" t="s">
        <v>920</v>
      </c>
      <c r="C89" s="134">
        <f t="shared" ref="C89:C99" si="7">+D89+E89+F89</f>
        <v>0</v>
      </c>
      <c r="D89" s="769"/>
      <c r="E89" s="770"/>
      <c r="F89" s="771"/>
      <c r="H89" s="140">
        <f t="shared" si="6"/>
        <v>0</v>
      </c>
    </row>
    <row r="90" spans="1:8" s="140" customFormat="1">
      <c r="A90" s="127" t="s">
        <v>234</v>
      </c>
      <c r="B90" s="128" t="s">
        <v>247</v>
      </c>
      <c r="C90" s="134">
        <f t="shared" si="7"/>
        <v>0</v>
      </c>
      <c r="D90" s="769"/>
      <c r="E90" s="770"/>
      <c r="F90" s="771"/>
      <c r="H90" s="140">
        <f t="shared" si="6"/>
        <v>0</v>
      </c>
    </row>
    <row r="91" spans="1:8" s="140" customFormat="1">
      <c r="A91" s="127" t="s">
        <v>235</v>
      </c>
      <c r="B91" s="128" t="s">
        <v>248</v>
      </c>
      <c r="C91" s="134">
        <f t="shared" si="7"/>
        <v>0</v>
      </c>
      <c r="D91" s="769"/>
      <c r="E91" s="770"/>
      <c r="F91" s="771"/>
      <c r="H91" s="140">
        <f t="shared" si="6"/>
        <v>0</v>
      </c>
    </row>
    <row r="92" spans="1:8" s="140" customFormat="1">
      <c r="A92" s="127" t="s">
        <v>236</v>
      </c>
      <c r="B92" s="128" t="s">
        <v>249</v>
      </c>
      <c r="C92" s="134">
        <f t="shared" si="7"/>
        <v>0</v>
      </c>
      <c r="D92" s="769"/>
      <c r="E92" s="770"/>
      <c r="F92" s="771"/>
      <c r="H92" s="140">
        <f t="shared" si="6"/>
        <v>0</v>
      </c>
    </row>
    <row r="93" spans="1:8" s="140" customFormat="1">
      <c r="A93" s="127" t="s">
        <v>237</v>
      </c>
      <c r="B93" s="128" t="s">
        <v>250</v>
      </c>
      <c r="C93" s="134">
        <f t="shared" si="7"/>
        <v>0</v>
      </c>
      <c r="D93" s="769"/>
      <c r="E93" s="770"/>
      <c r="F93" s="771"/>
      <c r="H93" s="140">
        <f t="shared" si="6"/>
        <v>0</v>
      </c>
    </row>
    <row r="94" spans="1:8" s="140" customFormat="1">
      <c r="A94" s="127" t="s">
        <v>238</v>
      </c>
      <c r="B94" s="128" t="s">
        <v>251</v>
      </c>
      <c r="C94" s="134">
        <f t="shared" si="7"/>
        <v>0</v>
      </c>
      <c r="D94" s="769">
        <f>+D149-D50+D192-D89-D90-D91-D92-D93-D95-D96-D98-D99-D100</f>
        <v>0</v>
      </c>
      <c r="E94" s="770">
        <f>+E149-E50+E192-E89-E90-E91-E92-E93-E95-E96-E98-E99-E100</f>
        <v>0</v>
      </c>
      <c r="F94" s="771">
        <f>+F149-F50+F192-F89-F90-F91-F92-F93-F95-F96-F98-F99-F100</f>
        <v>0</v>
      </c>
      <c r="H94" s="140">
        <f t="shared" si="6"/>
        <v>0</v>
      </c>
    </row>
    <row r="95" spans="1:8" s="140" customFormat="1">
      <c r="A95" s="127" t="s">
        <v>239</v>
      </c>
      <c r="B95" s="128" t="s">
        <v>252</v>
      </c>
      <c r="C95" s="134">
        <f t="shared" si="7"/>
        <v>0</v>
      </c>
      <c r="D95" s="769"/>
      <c r="E95" s="770"/>
      <c r="F95" s="771"/>
      <c r="H95" s="140">
        <f t="shared" si="6"/>
        <v>0</v>
      </c>
    </row>
    <row r="96" spans="1:8" s="140" customFormat="1">
      <c r="A96" s="127" t="s">
        <v>240</v>
      </c>
      <c r="B96" s="128" t="s">
        <v>245</v>
      </c>
      <c r="C96" s="134">
        <f t="shared" si="7"/>
        <v>0</v>
      </c>
      <c r="D96" s="769"/>
      <c r="E96" s="770"/>
      <c r="F96" s="771"/>
      <c r="H96" s="140">
        <f t="shared" si="6"/>
        <v>0</v>
      </c>
    </row>
    <row r="97" spans="1:8" s="140" customFormat="1">
      <c r="A97" s="127" t="s">
        <v>927</v>
      </c>
      <c r="B97" s="128" t="s">
        <v>923</v>
      </c>
      <c r="C97" s="134">
        <f>+D97+E97+F97</f>
        <v>0</v>
      </c>
      <c r="D97" s="769"/>
      <c r="E97" s="770"/>
      <c r="F97" s="771"/>
      <c r="H97" s="140">
        <f t="shared" si="6"/>
        <v>0</v>
      </c>
    </row>
    <row r="98" spans="1:8">
      <c r="A98" s="1126" t="s">
        <v>241</v>
      </c>
      <c r="B98" s="1127" t="s">
        <v>243</v>
      </c>
      <c r="C98" s="129">
        <f t="shared" si="7"/>
        <v>0</v>
      </c>
      <c r="D98" s="1094"/>
      <c r="E98" s="1095"/>
      <c r="F98" s="1096"/>
      <c r="H98" s="141">
        <f t="shared" si="6"/>
        <v>0</v>
      </c>
    </row>
    <row r="99" spans="1:8">
      <c r="A99" s="1128" t="s">
        <v>242</v>
      </c>
      <c r="B99" s="1129" t="s">
        <v>244</v>
      </c>
      <c r="C99" s="142">
        <f t="shared" si="7"/>
        <v>0</v>
      </c>
      <c r="D99" s="1097"/>
      <c r="E99" s="1098"/>
      <c r="F99" s="1099"/>
      <c r="H99" s="141">
        <f t="shared" si="6"/>
        <v>0</v>
      </c>
    </row>
    <row r="100" spans="1:8" ht="12.75" thickBot="1">
      <c r="A100" s="1128" t="s">
        <v>929</v>
      </c>
      <c r="B100" s="1129" t="s">
        <v>925</v>
      </c>
      <c r="C100" s="142">
        <f>+D100+E100+F100</f>
        <v>0</v>
      </c>
      <c r="D100" s="1097"/>
      <c r="E100" s="1098"/>
      <c r="F100" s="1099"/>
      <c r="H100" s="141">
        <f t="shared" si="6"/>
        <v>0</v>
      </c>
    </row>
    <row r="101" spans="1:8" s="143" customFormat="1" ht="12.75" thickBot="1">
      <c r="A101" s="1113" t="s">
        <v>43</v>
      </c>
      <c r="B101" s="1136" t="s">
        <v>306</v>
      </c>
      <c r="C101" s="130">
        <f>+C71+C86</f>
        <v>346784</v>
      </c>
      <c r="D101" s="131">
        <f>+D71+D86</f>
        <v>337596</v>
      </c>
      <c r="E101" s="132">
        <f>+E71+E86</f>
        <v>9188</v>
      </c>
      <c r="F101" s="133">
        <f>+F71+F86</f>
        <v>0</v>
      </c>
      <c r="H101" s="143">
        <f t="shared" si="6"/>
        <v>0</v>
      </c>
    </row>
    <row r="102" spans="1:8" s="143" customFormat="1" ht="12.75" thickBot="1">
      <c r="A102" s="1138" t="s">
        <v>40</v>
      </c>
      <c r="B102" s="1139" t="s">
        <v>307</v>
      </c>
      <c r="C102" s="1140">
        <f>+C70+C101</f>
        <v>385308</v>
      </c>
      <c r="D102" s="1141">
        <f>+D70+D101</f>
        <v>347270</v>
      </c>
      <c r="E102" s="1142">
        <f>+E70+E101</f>
        <v>38038</v>
      </c>
      <c r="F102" s="1143">
        <f>+F70+F101</f>
        <v>0</v>
      </c>
      <c r="H102" s="143">
        <f t="shared" si="6"/>
        <v>0</v>
      </c>
    </row>
    <row r="103" spans="1:8" s="143" customFormat="1">
      <c r="A103" s="1144"/>
      <c r="B103" s="1145"/>
      <c r="C103" s="1145"/>
      <c r="D103" s="1145"/>
      <c r="E103" s="1145"/>
      <c r="F103" s="1145"/>
    </row>
    <row r="104" spans="1:8" s="143" customFormat="1">
      <c r="A104" s="1144"/>
      <c r="B104" s="1145"/>
      <c r="C104" s="1145"/>
      <c r="D104" s="1145"/>
      <c r="E104" s="1145"/>
      <c r="F104" s="1145"/>
    </row>
    <row r="105" spans="1:8" s="1102" customFormat="1" ht="15.75">
      <c r="A105" s="1441" t="s">
        <v>80</v>
      </c>
      <c r="B105" s="1441"/>
      <c r="C105" s="1441"/>
      <c r="D105" s="1441"/>
      <c r="E105" s="1441"/>
      <c r="F105" s="1441"/>
    </row>
    <row r="106" spans="1:8" s="1104" customFormat="1" ht="12.75" thickBot="1">
      <c r="A106" s="1103" t="s">
        <v>279</v>
      </c>
      <c r="F106" s="1105" t="s">
        <v>281</v>
      </c>
    </row>
    <row r="107" spans="1:8" s="143" customFormat="1" ht="48.75" thickBot="1">
      <c r="A107" s="1106" t="s">
        <v>17</v>
      </c>
      <c r="B107" s="1146" t="s">
        <v>329</v>
      </c>
      <c r="C107" s="1147" t="s">
        <v>1317</v>
      </c>
      <c r="D107" s="1109" t="s">
        <v>51</v>
      </c>
      <c r="E107" s="1110" t="s">
        <v>52</v>
      </c>
      <c r="F107" s="1111" t="s">
        <v>53</v>
      </c>
    </row>
    <row r="108" spans="1:8" s="143" customFormat="1" ht="12.75" thickBot="1">
      <c r="A108" s="1148" t="s">
        <v>253</v>
      </c>
      <c r="B108" s="1149" t="s">
        <v>254</v>
      </c>
      <c r="C108" s="1448" t="s">
        <v>255</v>
      </c>
      <c r="D108" s="1449"/>
      <c r="E108" s="1449"/>
      <c r="F108" s="1450"/>
    </row>
    <row r="109" spans="1:8" s="143" customFormat="1" ht="12.75" thickBot="1">
      <c r="A109" s="1113" t="s">
        <v>4</v>
      </c>
      <c r="B109" s="1136" t="s">
        <v>308</v>
      </c>
      <c r="C109" s="130">
        <f>+C110+C114+C116+C123+C132</f>
        <v>385308</v>
      </c>
      <c r="D109" s="131">
        <f>+D110+D114+D116+D123+D132</f>
        <v>347270</v>
      </c>
      <c r="E109" s="132">
        <f>+E110+E114+E116+E123+E132</f>
        <v>38038</v>
      </c>
      <c r="F109" s="133">
        <f>+F110+F114+F116+F123+F132</f>
        <v>0</v>
      </c>
      <c r="H109" s="143">
        <f t="shared" si="6"/>
        <v>0</v>
      </c>
    </row>
    <row r="110" spans="1:8" s="143" customFormat="1" ht="12.75" thickBot="1">
      <c r="A110" s="1113" t="s">
        <v>5</v>
      </c>
      <c r="B110" s="1121" t="s">
        <v>309</v>
      </c>
      <c r="C110" s="130">
        <f>+C112+C113</f>
        <v>272433</v>
      </c>
      <c r="D110" s="131">
        <f>+D112+D113</f>
        <v>258185</v>
      </c>
      <c r="E110" s="132">
        <f>+E112+E113</f>
        <v>14248</v>
      </c>
      <c r="F110" s="133">
        <f>+F112+F113</f>
        <v>0</v>
      </c>
      <c r="H110" s="143">
        <f t="shared" si="6"/>
        <v>0</v>
      </c>
    </row>
    <row r="111" spans="1:8" s="1104" customFormat="1">
      <c r="A111" s="1150" t="s">
        <v>349</v>
      </c>
      <c r="B111" s="1151" t="s">
        <v>350</v>
      </c>
      <c r="C111" s="1152">
        <f>+D111+E111+F111</f>
        <v>0</v>
      </c>
      <c r="D111" s="1153"/>
      <c r="E111" s="1154"/>
      <c r="F111" s="1155"/>
      <c r="H111" s="1104">
        <f t="shared" si="6"/>
        <v>0</v>
      </c>
    </row>
    <row r="112" spans="1:8">
      <c r="A112" s="1122" t="s">
        <v>54</v>
      </c>
      <c r="B112" s="135" t="s">
        <v>127</v>
      </c>
      <c r="C112" s="136">
        <f>+D112+E112+F112</f>
        <v>270893</v>
      </c>
      <c r="D112" s="137">
        <v>256645</v>
      </c>
      <c r="E112" s="138">
        <v>14248</v>
      </c>
      <c r="F112" s="139"/>
      <c r="H112" s="141">
        <f t="shared" si="6"/>
        <v>0</v>
      </c>
    </row>
    <row r="113" spans="1:8" ht="12.75" thickBot="1">
      <c r="A113" s="1128" t="s">
        <v>55</v>
      </c>
      <c r="B113" s="1129" t="s">
        <v>128</v>
      </c>
      <c r="C113" s="142">
        <f>+D113+E113+F113</f>
        <v>1540</v>
      </c>
      <c r="D113" s="1097">
        <v>1540</v>
      </c>
      <c r="E113" s="1098"/>
      <c r="F113" s="1099"/>
      <c r="H113" s="141">
        <f t="shared" si="6"/>
        <v>0</v>
      </c>
    </row>
    <row r="114" spans="1:8" s="143" customFormat="1" ht="12.75" thickBot="1">
      <c r="A114" s="1113" t="s">
        <v>6</v>
      </c>
      <c r="B114" s="1121" t="s">
        <v>256</v>
      </c>
      <c r="C114" s="130">
        <f>+D114+E114+F114</f>
        <v>54811</v>
      </c>
      <c r="D114" s="131">
        <v>52082</v>
      </c>
      <c r="E114" s="132">
        <v>2729</v>
      </c>
      <c r="F114" s="133"/>
      <c r="H114" s="143">
        <f t="shared" si="6"/>
        <v>0</v>
      </c>
    </row>
    <row r="115" spans="1:8" s="1104" customFormat="1" ht="12.75" thickBot="1">
      <c r="A115" s="1150" t="s">
        <v>346</v>
      </c>
      <c r="B115" s="1151" t="s">
        <v>347</v>
      </c>
      <c r="C115" s="1152">
        <f>+D115+E115+F115</f>
        <v>0</v>
      </c>
      <c r="D115" s="1153"/>
      <c r="E115" s="1154"/>
      <c r="F115" s="1155"/>
      <c r="H115" s="1104">
        <f t="shared" si="6"/>
        <v>0</v>
      </c>
    </row>
    <row r="116" spans="1:8" s="143" customFormat="1" ht="12.75" thickBot="1">
      <c r="A116" s="1113" t="s">
        <v>3</v>
      </c>
      <c r="B116" s="1121" t="s">
        <v>343</v>
      </c>
      <c r="C116" s="130">
        <f>+C118+C119+C120+C121+C122</f>
        <v>58064</v>
      </c>
      <c r="D116" s="131">
        <f>+D118+D119+D120+D121+D122</f>
        <v>37003</v>
      </c>
      <c r="E116" s="132">
        <f>+E118+E119+E120+E121+E122</f>
        <v>21061</v>
      </c>
      <c r="F116" s="133">
        <f>+F118+F119+F120+F121+F122</f>
        <v>0</v>
      </c>
      <c r="H116" s="143">
        <f t="shared" si="6"/>
        <v>0</v>
      </c>
    </row>
    <row r="117" spans="1:8" s="1104" customFormat="1" ht="13.5" customHeight="1">
      <c r="A117" s="1150" t="s">
        <v>341</v>
      </c>
      <c r="B117" s="1151" t="s">
        <v>348</v>
      </c>
      <c r="C117" s="1152">
        <f t="shared" ref="C117:C122" si="8">+D117+E117+F117</f>
        <v>0</v>
      </c>
      <c r="D117" s="1153"/>
      <c r="E117" s="1154"/>
      <c r="F117" s="1155"/>
      <c r="H117" s="1104">
        <f t="shared" si="6"/>
        <v>0</v>
      </c>
    </row>
    <row r="118" spans="1:8">
      <c r="A118" s="1122" t="s">
        <v>61</v>
      </c>
      <c r="B118" s="135" t="s">
        <v>129</v>
      </c>
      <c r="C118" s="136">
        <f t="shared" si="8"/>
        <v>19864</v>
      </c>
      <c r="D118" s="137">
        <v>7450</v>
      </c>
      <c r="E118" s="138">
        <v>12414</v>
      </c>
      <c r="F118" s="139"/>
      <c r="H118" s="141">
        <f t="shared" si="6"/>
        <v>0</v>
      </c>
    </row>
    <row r="119" spans="1:8">
      <c r="A119" s="1126" t="s">
        <v>62</v>
      </c>
      <c r="B119" s="1127" t="s">
        <v>130</v>
      </c>
      <c r="C119" s="129">
        <f t="shared" si="8"/>
        <v>7037</v>
      </c>
      <c r="D119" s="1094">
        <v>7017</v>
      </c>
      <c r="E119" s="1095">
        <v>20</v>
      </c>
      <c r="F119" s="1096"/>
      <c r="H119" s="141">
        <f t="shared" si="6"/>
        <v>0</v>
      </c>
    </row>
    <row r="120" spans="1:8">
      <c r="A120" s="1126" t="s">
        <v>63</v>
      </c>
      <c r="B120" s="1127" t="s">
        <v>131</v>
      </c>
      <c r="C120" s="129">
        <f t="shared" si="8"/>
        <v>16060</v>
      </c>
      <c r="D120" s="1094">
        <v>13637</v>
      </c>
      <c r="E120" s="1095">
        <v>2423</v>
      </c>
      <c r="F120" s="1096"/>
      <c r="H120" s="141">
        <f t="shared" si="6"/>
        <v>0</v>
      </c>
    </row>
    <row r="121" spans="1:8">
      <c r="A121" s="1126" t="s">
        <v>64</v>
      </c>
      <c r="B121" s="1127" t="s">
        <v>132</v>
      </c>
      <c r="C121" s="129">
        <f t="shared" si="8"/>
        <v>200</v>
      </c>
      <c r="D121" s="1094">
        <v>200</v>
      </c>
      <c r="E121" s="1095"/>
      <c r="F121" s="1096"/>
      <c r="H121" s="141">
        <f t="shared" si="6"/>
        <v>0</v>
      </c>
    </row>
    <row r="122" spans="1:8" ht="12.75" thickBot="1">
      <c r="A122" s="1128" t="s">
        <v>65</v>
      </c>
      <c r="B122" s="1129" t="s">
        <v>133</v>
      </c>
      <c r="C122" s="142">
        <f t="shared" si="8"/>
        <v>14903</v>
      </c>
      <c r="D122" s="1097">
        <v>8699</v>
      </c>
      <c r="E122" s="1098">
        <v>6204</v>
      </c>
      <c r="F122" s="1099"/>
      <c r="H122" s="141">
        <f t="shared" si="6"/>
        <v>0</v>
      </c>
    </row>
    <row r="123" spans="1:8" s="143" customFormat="1" ht="12.75" thickBot="1">
      <c r="A123" s="1113" t="s">
        <v>16</v>
      </c>
      <c r="B123" s="1121" t="s">
        <v>310</v>
      </c>
      <c r="C123" s="130">
        <f>+C124+C125+C126+C127+C128+C129+C130+C131</f>
        <v>0</v>
      </c>
      <c r="D123" s="131">
        <f>+D124+D125+D126+D127+D128+D129+D130+D131</f>
        <v>0</v>
      </c>
      <c r="E123" s="132">
        <f>+E124+E125+E126+E127+E128+E129+E130+E131</f>
        <v>0</v>
      </c>
      <c r="F123" s="133">
        <f>+F124+F125+F126+F127+F128+F129+F130+F131</f>
        <v>0</v>
      </c>
      <c r="H123" s="143">
        <f t="shared" si="6"/>
        <v>0</v>
      </c>
    </row>
    <row r="124" spans="1:8">
      <c r="A124" s="1122" t="s">
        <v>227</v>
      </c>
      <c r="B124" s="135" t="s">
        <v>134</v>
      </c>
      <c r="C124" s="136">
        <f t="shared" ref="C124:C131" si="9">+D124+E124+F124</f>
        <v>0</v>
      </c>
      <c r="D124" s="137"/>
      <c r="E124" s="138"/>
      <c r="F124" s="139"/>
      <c r="H124" s="141">
        <f t="shared" si="6"/>
        <v>0</v>
      </c>
    </row>
    <row r="125" spans="1:8">
      <c r="A125" s="1126" t="s">
        <v>228</v>
      </c>
      <c r="B125" s="1127" t="s">
        <v>135</v>
      </c>
      <c r="C125" s="129">
        <f t="shared" si="9"/>
        <v>0</v>
      </c>
      <c r="D125" s="1094"/>
      <c r="E125" s="1095"/>
      <c r="F125" s="1096"/>
      <c r="H125" s="141">
        <f t="shared" si="6"/>
        <v>0</v>
      </c>
    </row>
    <row r="126" spans="1:8">
      <c r="A126" s="1126" t="s">
        <v>229</v>
      </c>
      <c r="B126" s="1127" t="s">
        <v>136</v>
      </c>
      <c r="C126" s="129">
        <f t="shared" si="9"/>
        <v>0</v>
      </c>
      <c r="D126" s="1094"/>
      <c r="E126" s="1095"/>
      <c r="F126" s="1096"/>
      <c r="H126" s="141">
        <f t="shared" si="6"/>
        <v>0</v>
      </c>
    </row>
    <row r="127" spans="1:8">
      <c r="A127" s="1126" t="s">
        <v>257</v>
      </c>
      <c r="B127" s="1127" t="s">
        <v>137</v>
      </c>
      <c r="C127" s="129">
        <f t="shared" si="9"/>
        <v>0</v>
      </c>
      <c r="D127" s="1094"/>
      <c r="E127" s="1095"/>
      <c r="F127" s="1096"/>
      <c r="H127" s="141">
        <f t="shared" si="6"/>
        <v>0</v>
      </c>
    </row>
    <row r="128" spans="1:8">
      <c r="A128" s="1126" t="s">
        <v>258</v>
      </c>
      <c r="B128" s="1127" t="s">
        <v>138</v>
      </c>
      <c r="C128" s="129">
        <f t="shared" si="9"/>
        <v>0</v>
      </c>
      <c r="D128" s="1094"/>
      <c r="E128" s="1095"/>
      <c r="F128" s="1096"/>
      <c r="H128" s="141">
        <f t="shared" si="6"/>
        <v>0</v>
      </c>
    </row>
    <row r="129" spans="1:8">
      <c r="A129" s="1126" t="s">
        <v>259</v>
      </c>
      <c r="B129" s="1127" t="s">
        <v>139</v>
      </c>
      <c r="C129" s="129">
        <f t="shared" si="9"/>
        <v>0</v>
      </c>
      <c r="D129" s="1094"/>
      <c r="E129" s="1095"/>
      <c r="F129" s="1096"/>
      <c r="H129" s="141">
        <f t="shared" si="6"/>
        <v>0</v>
      </c>
    </row>
    <row r="130" spans="1:8">
      <c r="A130" s="1126" t="s">
        <v>260</v>
      </c>
      <c r="B130" s="1127" t="s">
        <v>140</v>
      </c>
      <c r="C130" s="129">
        <f t="shared" si="9"/>
        <v>0</v>
      </c>
      <c r="D130" s="1094"/>
      <c r="E130" s="1095"/>
      <c r="F130" s="1096"/>
      <c r="H130" s="141">
        <f t="shared" si="6"/>
        <v>0</v>
      </c>
    </row>
    <row r="131" spans="1:8" ht="12.75" thickBot="1">
      <c r="A131" s="1128" t="s">
        <v>261</v>
      </c>
      <c r="B131" s="1129" t="s">
        <v>141</v>
      </c>
      <c r="C131" s="142">
        <f t="shared" si="9"/>
        <v>0</v>
      </c>
      <c r="D131" s="1097"/>
      <c r="E131" s="1098"/>
      <c r="F131" s="1099"/>
      <c r="H131" s="141">
        <f t="shared" si="6"/>
        <v>0</v>
      </c>
    </row>
    <row r="132" spans="1:8" s="143" customFormat="1" ht="12.75" thickBot="1">
      <c r="A132" s="1113" t="s">
        <v>15</v>
      </c>
      <c r="B132" s="1121" t="s">
        <v>933</v>
      </c>
      <c r="C132" s="130">
        <f>+C133+C134+C135+C136+C137+C138+C140+C141+C142+C143+C144+C145+C146</f>
        <v>0</v>
      </c>
      <c r="D132" s="131">
        <f>+D133+D134+D135+D136+D137+D138+D140+D141+D142+D143+D144+D145+D146</f>
        <v>0</v>
      </c>
      <c r="E132" s="132">
        <f>+E133+E134+E135+E136+E137+E138+E140+E141+E142+E143+E144+E145+E146</f>
        <v>0</v>
      </c>
      <c r="F132" s="133">
        <f>+F133+F134+F135+F136+F137+F138+F140+F141+F142+F143+F144+F145+F146</f>
        <v>0</v>
      </c>
      <c r="H132" s="143">
        <f t="shared" si="6"/>
        <v>0</v>
      </c>
    </row>
    <row r="133" spans="1:8">
      <c r="A133" s="1122" t="s">
        <v>87</v>
      </c>
      <c r="B133" s="135" t="s">
        <v>142</v>
      </c>
      <c r="C133" s="136">
        <f t="shared" ref="C133:C145" si="10">+D133+E133+F133</f>
        <v>0</v>
      </c>
      <c r="D133" s="137"/>
      <c r="E133" s="138"/>
      <c r="F133" s="139"/>
      <c r="H133" s="141">
        <f t="shared" si="6"/>
        <v>0</v>
      </c>
    </row>
    <row r="134" spans="1:8">
      <c r="A134" s="1126" t="s">
        <v>88</v>
      </c>
      <c r="B134" s="1127" t="s">
        <v>143</v>
      </c>
      <c r="C134" s="129">
        <f t="shared" si="10"/>
        <v>0</v>
      </c>
      <c r="D134" s="1094"/>
      <c r="E134" s="1095"/>
      <c r="F134" s="1096"/>
      <c r="H134" s="141">
        <f t="shared" si="6"/>
        <v>0</v>
      </c>
    </row>
    <row r="135" spans="1:8">
      <c r="A135" s="1126" t="s">
        <v>182</v>
      </c>
      <c r="B135" s="1127" t="s">
        <v>144</v>
      </c>
      <c r="C135" s="129">
        <f t="shared" si="10"/>
        <v>0</v>
      </c>
      <c r="D135" s="1094"/>
      <c r="E135" s="1095"/>
      <c r="F135" s="1096"/>
      <c r="H135" s="141">
        <f t="shared" si="6"/>
        <v>0</v>
      </c>
    </row>
    <row r="136" spans="1:8">
      <c r="A136" s="1126" t="s">
        <v>183</v>
      </c>
      <c r="B136" s="1127" t="s">
        <v>145</v>
      </c>
      <c r="C136" s="129">
        <f t="shared" si="10"/>
        <v>0</v>
      </c>
      <c r="D136" s="1094"/>
      <c r="E136" s="1095"/>
      <c r="F136" s="1096"/>
      <c r="H136" s="141">
        <f t="shared" si="6"/>
        <v>0</v>
      </c>
    </row>
    <row r="137" spans="1:8">
      <c r="A137" s="1126" t="s">
        <v>184</v>
      </c>
      <c r="B137" s="1127" t="s">
        <v>146</v>
      </c>
      <c r="C137" s="129">
        <f t="shared" si="10"/>
        <v>0</v>
      </c>
      <c r="D137" s="1094"/>
      <c r="E137" s="1095"/>
      <c r="F137" s="1096"/>
      <c r="H137" s="141">
        <f t="shared" si="6"/>
        <v>0</v>
      </c>
    </row>
    <row r="138" spans="1:8">
      <c r="A138" s="1126" t="s">
        <v>262</v>
      </c>
      <c r="B138" s="1127" t="s">
        <v>147</v>
      </c>
      <c r="C138" s="129">
        <f t="shared" si="10"/>
        <v>0</v>
      </c>
      <c r="D138" s="1094"/>
      <c r="E138" s="1095"/>
      <c r="F138" s="1096"/>
      <c r="H138" s="141">
        <f t="shared" si="6"/>
        <v>0</v>
      </c>
    </row>
    <row r="139" spans="1:8" s="140" customFormat="1">
      <c r="A139" s="1130" t="s">
        <v>336</v>
      </c>
      <c r="B139" s="1131" t="s">
        <v>939</v>
      </c>
      <c r="C139" s="1132">
        <f t="shared" si="10"/>
        <v>0</v>
      </c>
      <c r="D139" s="1133"/>
      <c r="E139" s="1134"/>
      <c r="F139" s="1135"/>
      <c r="H139" s="140">
        <f t="shared" ref="H139:H202" si="11">+C139-D139-E139-F139</f>
        <v>0</v>
      </c>
    </row>
    <row r="140" spans="1:8">
      <c r="A140" s="1126" t="s">
        <v>263</v>
      </c>
      <c r="B140" s="1127" t="s">
        <v>148</v>
      </c>
      <c r="C140" s="129">
        <f t="shared" si="10"/>
        <v>0</v>
      </c>
      <c r="D140" s="1094"/>
      <c r="E140" s="1095"/>
      <c r="F140" s="1096"/>
      <c r="H140" s="141">
        <f t="shared" si="11"/>
        <v>0</v>
      </c>
    </row>
    <row r="141" spans="1:8">
      <c r="A141" s="1126" t="s">
        <v>264</v>
      </c>
      <c r="B141" s="1127" t="s">
        <v>149</v>
      </c>
      <c r="C141" s="129">
        <f t="shared" si="10"/>
        <v>0</v>
      </c>
      <c r="D141" s="1094"/>
      <c r="E141" s="1095"/>
      <c r="F141" s="1096"/>
      <c r="H141" s="141">
        <f t="shared" si="11"/>
        <v>0</v>
      </c>
    </row>
    <row r="142" spans="1:8">
      <c r="A142" s="1126" t="s">
        <v>265</v>
      </c>
      <c r="B142" s="1127" t="s">
        <v>150</v>
      </c>
      <c r="C142" s="129">
        <f t="shared" si="10"/>
        <v>0</v>
      </c>
      <c r="D142" s="1094"/>
      <c r="E142" s="1095"/>
      <c r="F142" s="1096"/>
      <c r="H142" s="141">
        <f t="shared" si="11"/>
        <v>0</v>
      </c>
    </row>
    <row r="143" spans="1:8">
      <c r="A143" s="1126" t="s">
        <v>266</v>
      </c>
      <c r="B143" s="1127" t="s">
        <v>151</v>
      </c>
      <c r="C143" s="129">
        <f t="shared" si="10"/>
        <v>0</v>
      </c>
      <c r="D143" s="1094"/>
      <c r="E143" s="1095"/>
      <c r="F143" s="1096"/>
      <c r="H143" s="141">
        <f t="shared" si="11"/>
        <v>0</v>
      </c>
    </row>
    <row r="144" spans="1:8">
      <c r="A144" s="1126" t="s">
        <v>267</v>
      </c>
      <c r="B144" s="1127" t="s">
        <v>934</v>
      </c>
      <c r="C144" s="129">
        <f>+D144+E144+F144</f>
        <v>0</v>
      </c>
      <c r="D144" s="1094"/>
      <c r="E144" s="1095"/>
      <c r="F144" s="1096"/>
      <c r="H144" s="141">
        <f t="shared" si="11"/>
        <v>0</v>
      </c>
    </row>
    <row r="145" spans="1:8">
      <c r="A145" s="1126" t="s">
        <v>268</v>
      </c>
      <c r="B145" s="1127" t="s">
        <v>935</v>
      </c>
      <c r="C145" s="129">
        <f t="shared" si="10"/>
        <v>0</v>
      </c>
      <c r="D145" s="1094"/>
      <c r="E145" s="1095"/>
      <c r="F145" s="1096"/>
      <c r="H145" s="141">
        <f t="shared" si="11"/>
        <v>0</v>
      </c>
    </row>
    <row r="146" spans="1:8">
      <c r="A146" s="1128" t="s">
        <v>930</v>
      </c>
      <c r="B146" s="1129" t="s">
        <v>936</v>
      </c>
      <c r="C146" s="142">
        <f>+C147+C148</f>
        <v>0</v>
      </c>
      <c r="D146" s="1097">
        <f>+D147+D148</f>
        <v>0</v>
      </c>
      <c r="E146" s="1098">
        <f>+E147+E148</f>
        <v>0</v>
      </c>
      <c r="F146" s="1099">
        <f>+F147+F148</f>
        <v>0</v>
      </c>
      <c r="H146" s="141">
        <f t="shared" si="11"/>
        <v>0</v>
      </c>
    </row>
    <row r="147" spans="1:8" s="140" customFormat="1">
      <c r="A147" s="1130" t="s">
        <v>931</v>
      </c>
      <c r="B147" s="1156" t="s">
        <v>937</v>
      </c>
      <c r="C147" s="1132">
        <f>+D147+E147+F147</f>
        <v>0</v>
      </c>
      <c r="D147" s="1133"/>
      <c r="E147" s="1134"/>
      <c r="F147" s="1135"/>
      <c r="H147" s="140">
        <f t="shared" si="11"/>
        <v>0</v>
      </c>
    </row>
    <row r="148" spans="1:8" s="140" customFormat="1" ht="12.75" thickBot="1">
      <c r="A148" s="1130" t="s">
        <v>932</v>
      </c>
      <c r="B148" s="1156" t="s">
        <v>938</v>
      </c>
      <c r="C148" s="1132">
        <f>+D148+E148+F148</f>
        <v>0</v>
      </c>
      <c r="D148" s="1133"/>
      <c r="E148" s="1134"/>
      <c r="F148" s="1135"/>
      <c r="H148" s="140">
        <f t="shared" si="11"/>
        <v>0</v>
      </c>
    </row>
    <row r="149" spans="1:8" s="143" customFormat="1" ht="12.75" thickBot="1">
      <c r="A149" s="1113" t="s">
        <v>14</v>
      </c>
      <c r="B149" s="1136" t="s">
        <v>311</v>
      </c>
      <c r="C149" s="130">
        <f>+C150+C159+C165</f>
        <v>0</v>
      </c>
      <c r="D149" s="131">
        <f>+D150+D159+D165</f>
        <v>0</v>
      </c>
      <c r="E149" s="132">
        <f>+E150+E159+E165</f>
        <v>0</v>
      </c>
      <c r="F149" s="133">
        <f>+F150+F159+F165</f>
        <v>0</v>
      </c>
      <c r="H149" s="143">
        <f t="shared" si="11"/>
        <v>0</v>
      </c>
    </row>
    <row r="150" spans="1:8" s="143" customFormat="1" ht="12.75" thickBot="1">
      <c r="A150" s="1113" t="s">
        <v>13</v>
      </c>
      <c r="B150" s="1121" t="s">
        <v>312</v>
      </c>
      <c r="C150" s="130">
        <f>+C152+C153+C154+C155+C156+C157+C158</f>
        <v>0</v>
      </c>
      <c r="D150" s="131">
        <f>+D152+D153+D154+D155+D156+D157+D158</f>
        <v>0</v>
      </c>
      <c r="E150" s="132">
        <f>+E152+E153+E154+E155+E156+E157+E158</f>
        <v>0</v>
      </c>
      <c r="F150" s="133">
        <f>+F152+F153+F154+F155+F156+F157+F158</f>
        <v>0</v>
      </c>
      <c r="H150" s="143">
        <f t="shared" si="11"/>
        <v>0</v>
      </c>
    </row>
    <row r="151" spans="1:8" s="1104" customFormat="1">
      <c r="A151" s="1150" t="s">
        <v>940</v>
      </c>
      <c r="B151" s="1151" t="s">
        <v>342</v>
      </c>
      <c r="C151" s="1152">
        <f t="shared" ref="C151:C158" si="12">+D151+E151+F151</f>
        <v>0</v>
      </c>
      <c r="D151" s="1153"/>
      <c r="E151" s="1154"/>
      <c r="F151" s="1155"/>
      <c r="H151" s="1104">
        <f t="shared" si="11"/>
        <v>0</v>
      </c>
    </row>
    <row r="152" spans="1:8">
      <c r="A152" s="1122" t="s">
        <v>66</v>
      </c>
      <c r="B152" s="135" t="s">
        <v>152</v>
      </c>
      <c r="C152" s="136">
        <f t="shared" si="12"/>
        <v>0</v>
      </c>
      <c r="D152" s="137"/>
      <c r="E152" s="138"/>
      <c r="F152" s="139"/>
      <c r="H152" s="141">
        <f t="shared" si="11"/>
        <v>0</v>
      </c>
    </row>
    <row r="153" spans="1:8">
      <c r="A153" s="1126" t="s">
        <v>67</v>
      </c>
      <c r="B153" s="1127" t="s">
        <v>153</v>
      </c>
      <c r="C153" s="129">
        <f t="shared" si="12"/>
        <v>0</v>
      </c>
      <c r="D153" s="1094"/>
      <c r="E153" s="1095"/>
      <c r="F153" s="1096"/>
      <c r="H153" s="141">
        <f t="shared" si="11"/>
        <v>0</v>
      </c>
    </row>
    <row r="154" spans="1:8">
      <c r="A154" s="1126" t="s">
        <v>68</v>
      </c>
      <c r="B154" s="1127" t="s">
        <v>154</v>
      </c>
      <c r="C154" s="129">
        <f t="shared" si="12"/>
        <v>0</v>
      </c>
      <c r="D154" s="1094"/>
      <c r="E154" s="1095"/>
      <c r="F154" s="1096"/>
      <c r="H154" s="141">
        <f t="shared" si="11"/>
        <v>0</v>
      </c>
    </row>
    <row r="155" spans="1:8">
      <c r="A155" s="1126" t="s">
        <v>230</v>
      </c>
      <c r="B155" s="1127" t="s">
        <v>155</v>
      </c>
      <c r="C155" s="129">
        <f t="shared" si="12"/>
        <v>0</v>
      </c>
      <c r="D155" s="1094"/>
      <c r="E155" s="1095"/>
      <c r="F155" s="1096"/>
      <c r="H155" s="141">
        <f t="shared" si="11"/>
        <v>0</v>
      </c>
    </row>
    <row r="156" spans="1:8">
      <c r="A156" s="1126" t="s">
        <v>231</v>
      </c>
      <c r="B156" s="1127" t="s">
        <v>156</v>
      </c>
      <c r="C156" s="129">
        <f t="shared" si="12"/>
        <v>0</v>
      </c>
      <c r="D156" s="1094"/>
      <c r="E156" s="1095"/>
      <c r="F156" s="1096"/>
      <c r="H156" s="141">
        <f t="shared" si="11"/>
        <v>0</v>
      </c>
    </row>
    <row r="157" spans="1:8">
      <c r="A157" s="1126" t="s">
        <v>269</v>
      </c>
      <c r="B157" s="1127" t="s">
        <v>157</v>
      </c>
      <c r="C157" s="129">
        <f t="shared" si="12"/>
        <v>0</v>
      </c>
      <c r="D157" s="1094"/>
      <c r="E157" s="1095"/>
      <c r="F157" s="1096"/>
      <c r="H157" s="141">
        <f t="shared" si="11"/>
        <v>0</v>
      </c>
    </row>
    <row r="158" spans="1:8" ht="12.75" thickBot="1">
      <c r="A158" s="1128" t="s">
        <v>270</v>
      </c>
      <c r="B158" s="1129" t="s">
        <v>158</v>
      </c>
      <c r="C158" s="142">
        <f t="shared" si="12"/>
        <v>0</v>
      </c>
      <c r="D158" s="1097"/>
      <c r="E158" s="1098"/>
      <c r="F158" s="1099"/>
      <c r="H158" s="141">
        <f t="shared" si="11"/>
        <v>0</v>
      </c>
    </row>
    <row r="159" spans="1:8" s="143" customFormat="1" ht="12.75" thickBot="1">
      <c r="A159" s="1113" t="s">
        <v>12</v>
      </c>
      <c r="B159" s="1121" t="s">
        <v>313</v>
      </c>
      <c r="C159" s="130">
        <f>+C161+C162+C163+C164</f>
        <v>0</v>
      </c>
      <c r="D159" s="131">
        <f>+D161+D162+D163+D164</f>
        <v>0</v>
      </c>
      <c r="E159" s="132">
        <f>+E161+E162+E163+E164</f>
        <v>0</v>
      </c>
      <c r="F159" s="133">
        <f>+F161+F162+F163+F164</f>
        <v>0</v>
      </c>
      <c r="H159" s="143">
        <f t="shared" si="11"/>
        <v>0</v>
      </c>
    </row>
    <row r="160" spans="1:8" s="1104" customFormat="1">
      <c r="A160" s="1150" t="s">
        <v>344</v>
      </c>
      <c r="B160" s="1151" t="s">
        <v>345</v>
      </c>
      <c r="C160" s="1152">
        <f>+D160+E160+F160</f>
        <v>0</v>
      </c>
      <c r="D160" s="1153"/>
      <c r="E160" s="1154"/>
      <c r="F160" s="1155"/>
      <c r="H160" s="1104">
        <f t="shared" si="11"/>
        <v>0</v>
      </c>
    </row>
    <row r="161" spans="1:8">
      <c r="A161" s="1122" t="s">
        <v>69</v>
      </c>
      <c r="B161" s="135" t="s">
        <v>159</v>
      </c>
      <c r="C161" s="136">
        <f>+D161+E161+F161</f>
        <v>0</v>
      </c>
      <c r="D161" s="137"/>
      <c r="E161" s="138"/>
      <c r="F161" s="139"/>
      <c r="H161" s="141">
        <f t="shared" si="11"/>
        <v>0</v>
      </c>
    </row>
    <row r="162" spans="1:8">
      <c r="A162" s="1126" t="s">
        <v>70</v>
      </c>
      <c r="B162" s="1127" t="s">
        <v>160</v>
      </c>
      <c r="C162" s="129">
        <f>+D162+E162+F162</f>
        <v>0</v>
      </c>
      <c r="D162" s="1094"/>
      <c r="E162" s="1095"/>
      <c r="F162" s="1096"/>
      <c r="H162" s="141">
        <f t="shared" si="11"/>
        <v>0</v>
      </c>
    </row>
    <row r="163" spans="1:8">
      <c r="A163" s="1126" t="s">
        <v>71</v>
      </c>
      <c r="B163" s="1127" t="s">
        <v>161</v>
      </c>
      <c r="C163" s="129">
        <f>+D163+E163+F163</f>
        <v>0</v>
      </c>
      <c r="D163" s="1094"/>
      <c r="E163" s="1095"/>
      <c r="F163" s="1096"/>
      <c r="H163" s="141">
        <f t="shared" si="11"/>
        <v>0</v>
      </c>
    </row>
    <row r="164" spans="1:8" ht="12.75" thickBot="1">
      <c r="A164" s="1128" t="s">
        <v>72</v>
      </c>
      <c r="B164" s="1129" t="s">
        <v>162</v>
      </c>
      <c r="C164" s="142">
        <f>+D164+E164+F164</f>
        <v>0</v>
      </c>
      <c r="D164" s="1097"/>
      <c r="E164" s="1098"/>
      <c r="F164" s="1099"/>
      <c r="H164" s="141">
        <f t="shared" si="11"/>
        <v>0</v>
      </c>
    </row>
    <row r="165" spans="1:8" s="143" customFormat="1" ht="12.75" thickBot="1">
      <c r="A165" s="1113" t="s">
        <v>11</v>
      </c>
      <c r="B165" s="1121" t="s">
        <v>942</v>
      </c>
      <c r="C165" s="130">
        <f>+C166+C167+C168+C169+C171+C172+C173+C174+C175</f>
        <v>0</v>
      </c>
      <c r="D165" s="131">
        <f>+D166+D167+D168+D169+D171+D172+D173+D174+D175</f>
        <v>0</v>
      </c>
      <c r="E165" s="132">
        <f>+E166+E167+E168+E169+E171+E172+E173+E174+E175</f>
        <v>0</v>
      </c>
      <c r="F165" s="133">
        <f>+F166+F167+F168+F169+F171+F172+F173+F174+F175</f>
        <v>0</v>
      </c>
      <c r="H165" s="143">
        <f t="shared" si="11"/>
        <v>0</v>
      </c>
    </row>
    <row r="166" spans="1:8">
      <c r="A166" s="1122" t="s">
        <v>271</v>
      </c>
      <c r="B166" s="135" t="s">
        <v>163</v>
      </c>
      <c r="C166" s="136">
        <f t="shared" ref="C166:C175" si="13">+D166+E166+F166</f>
        <v>0</v>
      </c>
      <c r="D166" s="137"/>
      <c r="E166" s="138"/>
      <c r="F166" s="139"/>
      <c r="H166" s="141">
        <f t="shared" si="11"/>
        <v>0</v>
      </c>
    </row>
    <row r="167" spans="1:8">
      <c r="A167" s="1126" t="s">
        <v>272</v>
      </c>
      <c r="B167" s="1127" t="s">
        <v>164</v>
      </c>
      <c r="C167" s="129">
        <f t="shared" si="13"/>
        <v>0</v>
      </c>
      <c r="D167" s="1094"/>
      <c r="E167" s="1095"/>
      <c r="F167" s="1096"/>
      <c r="H167" s="141">
        <f t="shared" si="11"/>
        <v>0</v>
      </c>
    </row>
    <row r="168" spans="1:8">
      <c r="A168" s="1126" t="s">
        <v>273</v>
      </c>
      <c r="B168" s="1127" t="s">
        <v>165</v>
      </c>
      <c r="C168" s="129">
        <f t="shared" si="13"/>
        <v>0</v>
      </c>
      <c r="D168" s="1094"/>
      <c r="E168" s="1095"/>
      <c r="F168" s="1096"/>
      <c r="H168" s="141">
        <f t="shared" si="11"/>
        <v>0</v>
      </c>
    </row>
    <row r="169" spans="1:8">
      <c r="A169" s="1126" t="s">
        <v>274</v>
      </c>
      <c r="B169" s="1127" t="s">
        <v>166</v>
      </c>
      <c r="C169" s="129">
        <f t="shared" si="13"/>
        <v>0</v>
      </c>
      <c r="D169" s="1094"/>
      <c r="E169" s="1095"/>
      <c r="F169" s="1096"/>
      <c r="H169" s="141">
        <f t="shared" si="11"/>
        <v>0</v>
      </c>
    </row>
    <row r="170" spans="1:8" s="140" customFormat="1">
      <c r="A170" s="1130" t="s">
        <v>339</v>
      </c>
      <c r="B170" s="1131" t="s">
        <v>340</v>
      </c>
      <c r="C170" s="1132">
        <f t="shared" si="13"/>
        <v>0</v>
      </c>
      <c r="D170" s="1133"/>
      <c r="E170" s="1134"/>
      <c r="F170" s="1135"/>
      <c r="H170" s="140">
        <f t="shared" si="11"/>
        <v>0</v>
      </c>
    </row>
    <row r="171" spans="1:8">
      <c r="A171" s="1126" t="s">
        <v>275</v>
      </c>
      <c r="B171" s="1127" t="s">
        <v>167</v>
      </c>
      <c r="C171" s="129">
        <f t="shared" si="13"/>
        <v>0</v>
      </c>
      <c r="D171" s="1094"/>
      <c r="E171" s="1095"/>
      <c r="F171" s="1096"/>
      <c r="H171" s="141">
        <f t="shared" si="11"/>
        <v>0</v>
      </c>
    </row>
    <row r="172" spans="1:8">
      <c r="A172" s="1126" t="s">
        <v>276</v>
      </c>
      <c r="B172" s="1127" t="s">
        <v>168</v>
      </c>
      <c r="C172" s="129">
        <f t="shared" si="13"/>
        <v>0</v>
      </c>
      <c r="D172" s="1094"/>
      <c r="E172" s="1095"/>
      <c r="F172" s="1096"/>
      <c r="H172" s="141">
        <f t="shared" si="11"/>
        <v>0</v>
      </c>
    </row>
    <row r="173" spans="1:8">
      <c r="A173" s="1126" t="s">
        <v>277</v>
      </c>
      <c r="B173" s="1127" t="s">
        <v>169</v>
      </c>
      <c r="C173" s="129">
        <f t="shared" si="13"/>
        <v>0</v>
      </c>
      <c r="D173" s="1094"/>
      <c r="E173" s="1095"/>
      <c r="F173" s="1096"/>
      <c r="H173" s="141">
        <f t="shared" si="11"/>
        <v>0</v>
      </c>
    </row>
    <row r="174" spans="1:8">
      <c r="A174" s="1126" t="s">
        <v>278</v>
      </c>
      <c r="B174" s="1127" t="s">
        <v>943</v>
      </c>
      <c r="C174" s="129">
        <f>+D174+E174+F174</f>
        <v>0</v>
      </c>
      <c r="D174" s="1094"/>
      <c r="E174" s="1095"/>
      <c r="F174" s="1096"/>
      <c r="H174" s="141">
        <f t="shared" si="11"/>
        <v>0</v>
      </c>
    </row>
    <row r="175" spans="1:8" ht="12.75" thickBot="1">
      <c r="A175" s="1128" t="s">
        <v>941</v>
      </c>
      <c r="B175" s="1129" t="s">
        <v>944</v>
      </c>
      <c r="C175" s="142">
        <f t="shared" si="13"/>
        <v>0</v>
      </c>
      <c r="D175" s="1097"/>
      <c r="E175" s="1098"/>
      <c r="F175" s="1099"/>
      <c r="H175" s="141">
        <f t="shared" si="11"/>
        <v>0</v>
      </c>
    </row>
    <row r="176" spans="1:8" s="143" customFormat="1" ht="12.75" thickBot="1">
      <c r="A176" s="1113" t="s">
        <v>10</v>
      </c>
      <c r="B176" s="1136" t="s">
        <v>314</v>
      </c>
      <c r="C176" s="130">
        <f>+C109+C149</f>
        <v>385308</v>
      </c>
      <c r="D176" s="131">
        <f>+D109+D149</f>
        <v>347270</v>
      </c>
      <c r="E176" s="132">
        <f>+E109+E149</f>
        <v>38038</v>
      </c>
      <c r="F176" s="133">
        <f>+F109+F149</f>
        <v>0</v>
      </c>
      <c r="H176" s="143">
        <f t="shared" si="11"/>
        <v>0</v>
      </c>
    </row>
    <row r="177" spans="1:8" s="143" customFormat="1" ht="12.75" thickBot="1">
      <c r="A177" s="1113" t="s">
        <v>9</v>
      </c>
      <c r="B177" s="1137" t="s">
        <v>315</v>
      </c>
      <c r="C177" s="130">
        <f>+C178</f>
        <v>0</v>
      </c>
      <c r="D177" s="131">
        <f>+D178</f>
        <v>0</v>
      </c>
      <c r="E177" s="132">
        <f>+E178</f>
        <v>0</v>
      </c>
      <c r="F177" s="133">
        <f>+F178</f>
        <v>0</v>
      </c>
      <c r="H177" s="143">
        <f t="shared" si="11"/>
        <v>0</v>
      </c>
    </row>
    <row r="178" spans="1:8" s="143" customFormat="1" ht="12.75" thickBot="1">
      <c r="A178" s="1113" t="s">
        <v>45</v>
      </c>
      <c r="B178" s="1121" t="s">
        <v>951</v>
      </c>
      <c r="C178" s="130">
        <f>+C179+C189+C190+C191</f>
        <v>0</v>
      </c>
      <c r="D178" s="131">
        <f>+D179+D189+D190+D191</f>
        <v>0</v>
      </c>
      <c r="E178" s="132">
        <f>+E179+E189+E190+E191</f>
        <v>0</v>
      </c>
      <c r="F178" s="133">
        <f>+F179+F189+F190+F191</f>
        <v>0</v>
      </c>
      <c r="H178" s="143">
        <f t="shared" si="11"/>
        <v>0</v>
      </c>
    </row>
    <row r="179" spans="1:8">
      <c r="A179" s="1122" t="s">
        <v>75</v>
      </c>
      <c r="B179" s="135" t="s">
        <v>952</v>
      </c>
      <c r="C179" s="136">
        <f>+C180+C181+C182+C183+C184+C185+C186+C187+C188</f>
        <v>0</v>
      </c>
      <c r="D179" s="137">
        <f>+D180+D181+D182+D183+D184+D185+D186+D187+D188</f>
        <v>0</v>
      </c>
      <c r="E179" s="138">
        <f>+E180+E181+E182+E183+E184+E185+E186+E187+E188</f>
        <v>0</v>
      </c>
      <c r="F179" s="139">
        <f>+F180+F181+F182+F183+F184+F185+F186+F187+F188</f>
        <v>0</v>
      </c>
      <c r="H179" s="141">
        <f t="shared" si="11"/>
        <v>0</v>
      </c>
    </row>
    <row r="180" spans="1:8" s="140" customFormat="1">
      <c r="A180" s="127" t="s">
        <v>205</v>
      </c>
      <c r="B180" s="128" t="s">
        <v>170</v>
      </c>
      <c r="C180" s="134">
        <f t="shared" ref="C180:C190" si="14">+D180+E180+F180</f>
        <v>0</v>
      </c>
      <c r="D180" s="769"/>
      <c r="E180" s="770"/>
      <c r="F180" s="771"/>
      <c r="H180" s="140">
        <f t="shared" si="11"/>
        <v>0</v>
      </c>
    </row>
    <row r="181" spans="1:8" s="140" customFormat="1">
      <c r="A181" s="127" t="s">
        <v>206</v>
      </c>
      <c r="B181" s="128" t="s">
        <v>171</v>
      </c>
      <c r="C181" s="134">
        <f t="shared" si="14"/>
        <v>0</v>
      </c>
      <c r="D181" s="769"/>
      <c r="E181" s="770"/>
      <c r="F181" s="771"/>
      <c r="H181" s="140">
        <f t="shared" si="11"/>
        <v>0</v>
      </c>
    </row>
    <row r="182" spans="1:8" s="140" customFormat="1">
      <c r="A182" s="127" t="s">
        <v>207</v>
      </c>
      <c r="B182" s="128" t="s">
        <v>172</v>
      </c>
      <c r="C182" s="134">
        <f t="shared" si="14"/>
        <v>0</v>
      </c>
      <c r="D182" s="769"/>
      <c r="E182" s="770"/>
      <c r="F182" s="771"/>
      <c r="H182" s="140">
        <f t="shared" si="11"/>
        <v>0</v>
      </c>
    </row>
    <row r="183" spans="1:8" s="140" customFormat="1">
      <c r="A183" s="127" t="s">
        <v>208</v>
      </c>
      <c r="B183" s="128" t="s">
        <v>173</v>
      </c>
      <c r="C183" s="134">
        <f t="shared" si="14"/>
        <v>0</v>
      </c>
      <c r="D183" s="769"/>
      <c r="E183" s="770"/>
      <c r="F183" s="771"/>
      <c r="H183" s="140">
        <f t="shared" si="11"/>
        <v>0</v>
      </c>
    </row>
    <row r="184" spans="1:8" s="140" customFormat="1">
      <c r="A184" s="127" t="s">
        <v>209</v>
      </c>
      <c r="B184" s="128" t="s">
        <v>174</v>
      </c>
      <c r="C184" s="134">
        <f t="shared" si="14"/>
        <v>0</v>
      </c>
      <c r="D184" s="769"/>
      <c r="E184" s="770"/>
      <c r="F184" s="771"/>
      <c r="H184" s="140">
        <f t="shared" si="11"/>
        <v>0</v>
      </c>
    </row>
    <row r="185" spans="1:8" s="140" customFormat="1">
      <c r="A185" s="127" t="s">
        <v>210</v>
      </c>
      <c r="B185" s="128" t="s">
        <v>179</v>
      </c>
      <c r="C185" s="134">
        <f t="shared" si="14"/>
        <v>0</v>
      </c>
      <c r="D185" s="769"/>
      <c r="E185" s="770"/>
      <c r="F185" s="771"/>
      <c r="H185" s="140">
        <f t="shared" si="11"/>
        <v>0</v>
      </c>
    </row>
    <row r="186" spans="1:8" s="140" customFormat="1">
      <c r="A186" s="127" t="s">
        <v>211</v>
      </c>
      <c r="B186" s="128" t="s">
        <v>175</v>
      </c>
      <c r="C186" s="134">
        <f t="shared" si="14"/>
        <v>0</v>
      </c>
      <c r="D186" s="769"/>
      <c r="E186" s="770"/>
      <c r="F186" s="771"/>
      <c r="H186" s="140">
        <f t="shared" si="11"/>
        <v>0</v>
      </c>
    </row>
    <row r="187" spans="1:8" s="140" customFormat="1">
      <c r="A187" s="127" t="s">
        <v>212</v>
      </c>
      <c r="B187" s="128" t="s">
        <v>176</v>
      </c>
      <c r="C187" s="134">
        <f t="shared" si="14"/>
        <v>0</v>
      </c>
      <c r="D187" s="769"/>
      <c r="E187" s="770"/>
      <c r="F187" s="771"/>
      <c r="H187" s="140">
        <f t="shared" si="11"/>
        <v>0</v>
      </c>
    </row>
    <row r="188" spans="1:8" s="140" customFormat="1">
      <c r="A188" s="127" t="s">
        <v>945</v>
      </c>
      <c r="B188" s="128" t="s">
        <v>947</v>
      </c>
      <c r="C188" s="134">
        <f>+D188+E188+F188</f>
        <v>0</v>
      </c>
      <c r="D188" s="769"/>
      <c r="E188" s="770"/>
      <c r="F188" s="771"/>
      <c r="H188" s="140">
        <f t="shared" si="11"/>
        <v>0</v>
      </c>
    </row>
    <row r="189" spans="1:8">
      <c r="A189" s="1126" t="s">
        <v>76</v>
      </c>
      <c r="B189" s="1127" t="s">
        <v>177</v>
      </c>
      <c r="C189" s="129">
        <f t="shared" si="14"/>
        <v>0</v>
      </c>
      <c r="D189" s="1094"/>
      <c r="E189" s="1095"/>
      <c r="F189" s="1096"/>
      <c r="H189" s="141">
        <f t="shared" si="11"/>
        <v>0</v>
      </c>
    </row>
    <row r="190" spans="1:8">
      <c r="A190" s="1128" t="s">
        <v>77</v>
      </c>
      <c r="B190" s="1129" t="s">
        <v>178</v>
      </c>
      <c r="C190" s="142">
        <f t="shared" si="14"/>
        <v>0</v>
      </c>
      <c r="D190" s="1097"/>
      <c r="E190" s="1098"/>
      <c r="F190" s="1099"/>
      <c r="H190" s="141">
        <f t="shared" si="11"/>
        <v>0</v>
      </c>
    </row>
    <row r="191" spans="1:8" ht="12.75" thickBot="1">
      <c r="A191" s="1128" t="s">
        <v>950</v>
      </c>
      <c r="B191" s="1129" t="s">
        <v>948</v>
      </c>
      <c r="C191" s="142">
        <f>+D191+E191+F191</f>
        <v>0</v>
      </c>
      <c r="D191" s="1097"/>
      <c r="E191" s="1098"/>
      <c r="F191" s="1099"/>
      <c r="H191" s="141">
        <f t="shared" si="11"/>
        <v>0</v>
      </c>
    </row>
    <row r="192" spans="1:8" s="143" customFormat="1" ht="12.75" thickBot="1">
      <c r="A192" s="1113" t="s">
        <v>44</v>
      </c>
      <c r="B192" s="1136" t="s">
        <v>316</v>
      </c>
      <c r="C192" s="130">
        <f>+C193</f>
        <v>0</v>
      </c>
      <c r="D192" s="131">
        <f>+D193</f>
        <v>0</v>
      </c>
      <c r="E192" s="132">
        <f>+E193</f>
        <v>0</v>
      </c>
      <c r="F192" s="133">
        <f>+F193</f>
        <v>0</v>
      </c>
      <c r="H192" s="143">
        <f t="shared" si="11"/>
        <v>0</v>
      </c>
    </row>
    <row r="193" spans="1:8" s="143" customFormat="1" ht="12.75" thickBot="1">
      <c r="A193" s="1113" t="s">
        <v>43</v>
      </c>
      <c r="B193" s="1121" t="s">
        <v>946</v>
      </c>
      <c r="C193" s="130">
        <f>+C194+C204+C205+C206</f>
        <v>0</v>
      </c>
      <c r="D193" s="131">
        <f>+D194+D204+D205+D206</f>
        <v>0</v>
      </c>
      <c r="E193" s="132">
        <f>+E194+E204+E205+E206</f>
        <v>0</v>
      </c>
      <c r="F193" s="133">
        <f>+F194+F204+F205+F206</f>
        <v>0</v>
      </c>
      <c r="H193" s="143">
        <f t="shared" si="11"/>
        <v>0</v>
      </c>
    </row>
    <row r="194" spans="1:8">
      <c r="A194" s="1122" t="s">
        <v>78</v>
      </c>
      <c r="B194" s="135" t="s">
        <v>984</v>
      </c>
      <c r="C194" s="136">
        <f>+C195+C196+C197+C198+C199+C200+C201+C202+C203</f>
        <v>0</v>
      </c>
      <c r="D194" s="137">
        <f>+D195+D196+D197+D198+D199+D200+D201+D202+D203</f>
        <v>0</v>
      </c>
      <c r="E194" s="138">
        <f>+E195+E196+E197+E198+E199+E200+E201+E202+E203</f>
        <v>0</v>
      </c>
      <c r="F194" s="139">
        <f>+F195+F196+F197+F198+F199+F200+F201+F202+F203</f>
        <v>0</v>
      </c>
      <c r="H194" s="141">
        <f t="shared" si="11"/>
        <v>0</v>
      </c>
    </row>
    <row r="195" spans="1:8" s="140" customFormat="1">
      <c r="A195" s="127" t="s">
        <v>213</v>
      </c>
      <c r="B195" s="128" t="s">
        <v>170</v>
      </c>
      <c r="C195" s="134">
        <f t="shared" ref="C195:C205" si="15">+D195+E195+F195</f>
        <v>0</v>
      </c>
      <c r="D195" s="769"/>
      <c r="E195" s="770"/>
      <c r="F195" s="771"/>
      <c r="H195" s="140">
        <f t="shared" si="11"/>
        <v>0</v>
      </c>
    </row>
    <row r="196" spans="1:8" s="140" customFormat="1">
      <c r="A196" s="127" t="s">
        <v>214</v>
      </c>
      <c r="B196" s="128" t="s">
        <v>171</v>
      </c>
      <c r="C196" s="134">
        <f t="shared" si="15"/>
        <v>0</v>
      </c>
      <c r="D196" s="769"/>
      <c r="E196" s="770"/>
      <c r="F196" s="771"/>
      <c r="H196" s="140">
        <f t="shared" si="11"/>
        <v>0</v>
      </c>
    </row>
    <row r="197" spans="1:8" s="140" customFormat="1">
      <c r="A197" s="127" t="s">
        <v>215</v>
      </c>
      <c r="B197" s="128" t="s">
        <v>172</v>
      </c>
      <c r="C197" s="134">
        <f t="shared" si="15"/>
        <v>0</v>
      </c>
      <c r="D197" s="769"/>
      <c r="E197" s="770"/>
      <c r="F197" s="771"/>
      <c r="H197" s="140">
        <f t="shared" si="11"/>
        <v>0</v>
      </c>
    </row>
    <row r="198" spans="1:8" s="140" customFormat="1">
      <c r="A198" s="127" t="s">
        <v>216</v>
      </c>
      <c r="B198" s="128" t="s">
        <v>173</v>
      </c>
      <c r="C198" s="134">
        <f t="shared" si="15"/>
        <v>0</v>
      </c>
      <c r="D198" s="769"/>
      <c r="E198" s="770"/>
      <c r="F198" s="771"/>
      <c r="H198" s="140">
        <f t="shared" si="11"/>
        <v>0</v>
      </c>
    </row>
    <row r="199" spans="1:8" s="140" customFormat="1">
      <c r="A199" s="127" t="s">
        <v>217</v>
      </c>
      <c r="B199" s="128" t="s">
        <v>174</v>
      </c>
      <c r="C199" s="134">
        <f t="shared" si="15"/>
        <v>0</v>
      </c>
      <c r="D199" s="769"/>
      <c r="E199" s="770"/>
      <c r="F199" s="771"/>
      <c r="H199" s="140">
        <f t="shared" si="11"/>
        <v>0</v>
      </c>
    </row>
    <row r="200" spans="1:8" s="140" customFormat="1">
      <c r="A200" s="127" t="s">
        <v>218</v>
      </c>
      <c r="B200" s="128" t="s">
        <v>179</v>
      </c>
      <c r="C200" s="134">
        <f t="shared" si="15"/>
        <v>0</v>
      </c>
      <c r="D200" s="769"/>
      <c r="E200" s="770"/>
      <c r="F200" s="771"/>
      <c r="H200" s="140">
        <f t="shared" si="11"/>
        <v>0</v>
      </c>
    </row>
    <row r="201" spans="1:8" s="140" customFormat="1">
      <c r="A201" s="127" t="s">
        <v>219</v>
      </c>
      <c r="B201" s="128" t="s">
        <v>175</v>
      </c>
      <c r="C201" s="134">
        <f t="shared" si="15"/>
        <v>0</v>
      </c>
      <c r="D201" s="769"/>
      <c r="E201" s="770"/>
      <c r="F201" s="771"/>
      <c r="H201" s="140">
        <f t="shared" si="11"/>
        <v>0</v>
      </c>
    </row>
    <row r="202" spans="1:8" s="140" customFormat="1">
      <c r="A202" s="127" t="s">
        <v>220</v>
      </c>
      <c r="B202" s="128" t="s">
        <v>176</v>
      </c>
      <c r="C202" s="134">
        <f t="shared" si="15"/>
        <v>0</v>
      </c>
      <c r="D202" s="769"/>
      <c r="E202" s="770"/>
      <c r="F202" s="771"/>
      <c r="H202" s="140">
        <f t="shared" si="11"/>
        <v>0</v>
      </c>
    </row>
    <row r="203" spans="1:8" s="140" customFormat="1">
      <c r="A203" s="127" t="s">
        <v>945</v>
      </c>
      <c r="B203" s="128" t="s">
        <v>947</v>
      </c>
      <c r="C203" s="134">
        <f>+D203+E203+F203</f>
        <v>0</v>
      </c>
      <c r="D203" s="769"/>
      <c r="E203" s="770"/>
      <c r="F203" s="771"/>
      <c r="H203" s="140">
        <f t="shared" ref="H203:H242" si="16">+C203-D203-E203-F203</f>
        <v>0</v>
      </c>
    </row>
    <row r="204" spans="1:8">
      <c r="A204" s="1126" t="s">
        <v>79</v>
      </c>
      <c r="B204" s="1127" t="s">
        <v>177</v>
      </c>
      <c r="C204" s="129">
        <f t="shared" si="15"/>
        <v>0</v>
      </c>
      <c r="D204" s="1094"/>
      <c r="E204" s="1095"/>
      <c r="F204" s="1096"/>
      <c r="H204" s="141">
        <f t="shared" si="16"/>
        <v>0</v>
      </c>
    </row>
    <row r="205" spans="1:8">
      <c r="A205" s="1128" t="s">
        <v>221</v>
      </c>
      <c r="B205" s="1129" t="s">
        <v>178</v>
      </c>
      <c r="C205" s="142">
        <f t="shared" si="15"/>
        <v>0</v>
      </c>
      <c r="D205" s="1097"/>
      <c r="E205" s="1098"/>
      <c r="F205" s="1099"/>
      <c r="H205" s="141">
        <f t="shared" si="16"/>
        <v>0</v>
      </c>
    </row>
    <row r="206" spans="1:8" ht="12.75" thickBot="1">
      <c r="A206" s="1128" t="s">
        <v>949</v>
      </c>
      <c r="B206" s="1129" t="s">
        <v>948</v>
      </c>
      <c r="C206" s="142">
        <f>+D206+E206+F206</f>
        <v>0</v>
      </c>
      <c r="D206" s="1097"/>
      <c r="E206" s="1098"/>
      <c r="F206" s="1099"/>
      <c r="H206" s="141">
        <f t="shared" si="16"/>
        <v>0</v>
      </c>
    </row>
    <row r="207" spans="1:8" s="143" customFormat="1" ht="12.75" thickBot="1">
      <c r="A207" s="1113" t="s">
        <v>40</v>
      </c>
      <c r="B207" s="1136" t="s">
        <v>317</v>
      </c>
      <c r="C207" s="130">
        <f>+C177+C192</f>
        <v>0</v>
      </c>
      <c r="D207" s="131">
        <f>+D177+D192</f>
        <v>0</v>
      </c>
      <c r="E207" s="132">
        <f>+E177+E192</f>
        <v>0</v>
      </c>
      <c r="F207" s="133">
        <f>+F177+F192</f>
        <v>0</v>
      </c>
      <c r="H207" s="143">
        <f t="shared" si="16"/>
        <v>0</v>
      </c>
    </row>
    <row r="208" spans="1:8" s="143" customFormat="1" ht="12.75" thickBot="1">
      <c r="A208" s="1138" t="s">
        <v>39</v>
      </c>
      <c r="B208" s="1139" t="s">
        <v>335</v>
      </c>
      <c r="C208" s="1140">
        <f>+C176+C207</f>
        <v>385308</v>
      </c>
      <c r="D208" s="1141">
        <f>+D176+D207</f>
        <v>347270</v>
      </c>
      <c r="E208" s="1142">
        <f>+E176+E207</f>
        <v>38038</v>
      </c>
      <c r="F208" s="1143">
        <f>+F176+F207</f>
        <v>0</v>
      </c>
      <c r="H208" s="143">
        <f t="shared" si="16"/>
        <v>0</v>
      </c>
    </row>
    <row r="211" spans="1:28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1104" customFormat="1" ht="12.75" thickBot="1">
      <c r="A212" s="1103" t="s">
        <v>282</v>
      </c>
      <c r="F212" s="1105" t="s">
        <v>281</v>
      </c>
    </row>
    <row r="213" spans="1:28" s="143" customFormat="1" ht="12.75" thickBot="1">
      <c r="A213" s="1113" t="s">
        <v>4</v>
      </c>
      <c r="B213" s="1136" t="s">
        <v>318</v>
      </c>
      <c r="C213" s="130">
        <f>+C214+C215</f>
        <v>-346784</v>
      </c>
      <c r="D213" s="131">
        <f>+D214+D215</f>
        <v>-337596</v>
      </c>
      <c r="E213" s="132">
        <f>+E214+E215</f>
        <v>-9188</v>
      </c>
      <c r="F213" s="133">
        <f>+F214+F215</f>
        <v>0</v>
      </c>
      <c r="H213" s="143">
        <f t="shared" si="16"/>
        <v>0</v>
      </c>
    </row>
    <row r="214" spans="1:28">
      <c r="A214" s="1122" t="s">
        <v>81</v>
      </c>
      <c r="B214" s="1165" t="s">
        <v>319</v>
      </c>
      <c r="C214" s="136">
        <f>+C10-C109</f>
        <v>-346784</v>
      </c>
      <c r="D214" s="137">
        <f>+D10-D109</f>
        <v>-337596</v>
      </c>
      <c r="E214" s="138">
        <f>+E10-E109</f>
        <v>-9188</v>
      </c>
      <c r="F214" s="139">
        <f>+F10-F109</f>
        <v>0</v>
      </c>
      <c r="H214" s="141">
        <f t="shared" si="16"/>
        <v>0</v>
      </c>
    </row>
    <row r="215" spans="1:28" ht="12.75" thickBot="1">
      <c r="A215" s="1166" t="s">
        <v>82</v>
      </c>
      <c r="B215" s="1167" t="s">
        <v>320</v>
      </c>
      <c r="C215" s="1168">
        <f>+C50-C149</f>
        <v>0</v>
      </c>
      <c r="D215" s="1169">
        <f>+D50-D149</f>
        <v>0</v>
      </c>
      <c r="E215" s="1163">
        <f>+E50-E149</f>
        <v>0</v>
      </c>
      <c r="F215" s="1164">
        <f>+F50-F149</f>
        <v>0</v>
      </c>
      <c r="H215" s="141">
        <f t="shared" si="16"/>
        <v>0</v>
      </c>
    </row>
    <row r="218" spans="1:28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1104" customFormat="1" ht="12.75" thickBot="1">
      <c r="A219" s="1103" t="s">
        <v>283</v>
      </c>
      <c r="F219" s="1105" t="s">
        <v>281</v>
      </c>
    </row>
    <row r="220" spans="1:28" s="143" customFormat="1" ht="12.75" thickBot="1">
      <c r="A220" s="1113" t="s">
        <v>4</v>
      </c>
      <c r="B220" s="1136" t="s">
        <v>321</v>
      </c>
      <c r="C220" s="130">
        <f>+C221+C228</f>
        <v>346784</v>
      </c>
      <c r="D220" s="131">
        <f>+D221+D228</f>
        <v>337596</v>
      </c>
      <c r="E220" s="132">
        <f>+E221+E228</f>
        <v>9188</v>
      </c>
      <c r="F220" s="133">
        <f>+F221+F228</f>
        <v>0</v>
      </c>
      <c r="H220" s="143">
        <f t="shared" si="16"/>
        <v>0</v>
      </c>
    </row>
    <row r="221" spans="1:28" s="143" customFormat="1" ht="12.75" thickBot="1">
      <c r="A221" s="1113" t="s">
        <v>5</v>
      </c>
      <c r="B221" s="1121" t="s">
        <v>322</v>
      </c>
      <c r="C221" s="130">
        <f>+C222-C225</f>
        <v>346784</v>
      </c>
      <c r="D221" s="131">
        <f>+D222-D225</f>
        <v>337596</v>
      </c>
      <c r="E221" s="132">
        <f>+E222-E225</f>
        <v>9188</v>
      </c>
      <c r="F221" s="133">
        <f>+F222-F225</f>
        <v>0</v>
      </c>
      <c r="H221" s="143">
        <f t="shared" si="16"/>
        <v>0</v>
      </c>
    </row>
    <row r="222" spans="1:28">
      <c r="A222" s="1122" t="s">
        <v>54</v>
      </c>
      <c r="B222" s="135" t="s">
        <v>323</v>
      </c>
      <c r="C222" s="136">
        <f>+C223+C224</f>
        <v>346784</v>
      </c>
      <c r="D222" s="137">
        <f>+D223+D224</f>
        <v>337596</v>
      </c>
      <c r="E222" s="138">
        <f>+E223+E224</f>
        <v>9188</v>
      </c>
      <c r="F222" s="139">
        <f>+F223+F224</f>
        <v>0</v>
      </c>
      <c r="H222" s="141">
        <f t="shared" si="16"/>
        <v>0</v>
      </c>
    </row>
    <row r="223" spans="1:28" s="140" customFormat="1">
      <c r="A223" s="127" t="s">
        <v>190</v>
      </c>
      <c r="B223" s="128" t="s">
        <v>285</v>
      </c>
      <c r="C223" s="134">
        <f>+C76+C80</f>
        <v>0</v>
      </c>
      <c r="D223" s="769">
        <f>+D76+D80</f>
        <v>0</v>
      </c>
      <c r="E223" s="770">
        <f>+E76+E80</f>
        <v>0</v>
      </c>
      <c r="F223" s="771">
        <f>+F76+F80</f>
        <v>0</v>
      </c>
      <c r="H223" s="140">
        <f t="shared" si="16"/>
        <v>0</v>
      </c>
    </row>
    <row r="224" spans="1:28" s="140" customFormat="1">
      <c r="A224" s="127" t="s">
        <v>191</v>
      </c>
      <c r="B224" s="128" t="s">
        <v>286</v>
      </c>
      <c r="C224" s="134">
        <f>+C74+C75+C77+C78+C79+C81</f>
        <v>346784</v>
      </c>
      <c r="D224" s="769">
        <f>+D74+D75+D77+D78+D79+D81</f>
        <v>337596</v>
      </c>
      <c r="E224" s="770">
        <f>+E74+E75+E77+E78+E79+E81</f>
        <v>9188</v>
      </c>
      <c r="F224" s="771">
        <f>+F74+F75+F77+F78+F79+F81</f>
        <v>0</v>
      </c>
      <c r="H224" s="140">
        <f t="shared" si="16"/>
        <v>0</v>
      </c>
    </row>
    <row r="225" spans="1:28">
      <c r="A225" s="1126" t="s">
        <v>55</v>
      </c>
      <c r="B225" s="1127" t="s">
        <v>324</v>
      </c>
      <c r="C225" s="129">
        <f>+C227</f>
        <v>0</v>
      </c>
      <c r="D225" s="1094">
        <f>+D227</f>
        <v>0</v>
      </c>
      <c r="E225" s="1095">
        <f>+E227</f>
        <v>0</v>
      </c>
      <c r="F225" s="1096">
        <f>+F227</f>
        <v>0</v>
      </c>
      <c r="H225" s="141">
        <f t="shared" si="16"/>
        <v>0</v>
      </c>
    </row>
    <row r="226" spans="1:28" s="140" customFormat="1">
      <c r="A226" s="127" t="s">
        <v>56</v>
      </c>
      <c r="B226" s="128" t="s">
        <v>287</v>
      </c>
      <c r="C226" s="134">
        <f>+C185</f>
        <v>0</v>
      </c>
      <c r="D226" s="769">
        <f>+D185</f>
        <v>0</v>
      </c>
      <c r="E226" s="770">
        <f>+E185</f>
        <v>0</v>
      </c>
      <c r="F226" s="771">
        <f>+F185</f>
        <v>0</v>
      </c>
      <c r="H226" s="140">
        <f t="shared" si="16"/>
        <v>0</v>
      </c>
    </row>
    <row r="227" spans="1:28" s="140" customFormat="1" ht="12.75" thickBot="1">
      <c r="A227" s="1130" t="s">
        <v>57</v>
      </c>
      <c r="B227" s="1156" t="s">
        <v>288</v>
      </c>
      <c r="C227" s="1132">
        <f>+C180+C181+C182+C183+C184+C186+C187</f>
        <v>0</v>
      </c>
      <c r="D227" s="1133">
        <f>+D180+D181+D182+D183+D184+D186+D187</f>
        <v>0</v>
      </c>
      <c r="E227" s="1134">
        <f>+E180+E181+E182+E183+E184+E186+E187</f>
        <v>0</v>
      </c>
      <c r="F227" s="1135">
        <f>+F180+F181+F182+F183+F184+F186+F187</f>
        <v>0</v>
      </c>
      <c r="H227" s="140">
        <f t="shared" si="16"/>
        <v>0</v>
      </c>
    </row>
    <row r="228" spans="1:28" s="143" customFormat="1" ht="12.75" thickBot="1">
      <c r="A228" s="1113" t="s">
        <v>6</v>
      </c>
      <c r="B228" s="1121" t="s">
        <v>325</v>
      </c>
      <c r="C228" s="130">
        <f>+C229-C232</f>
        <v>0</v>
      </c>
      <c r="D228" s="131">
        <f>+D229-D232</f>
        <v>0</v>
      </c>
      <c r="E228" s="132">
        <f>+E229-E232</f>
        <v>0</v>
      </c>
      <c r="F228" s="133">
        <f>+F229-F232</f>
        <v>0</v>
      </c>
      <c r="H228" s="143">
        <f t="shared" si="16"/>
        <v>0</v>
      </c>
    </row>
    <row r="229" spans="1:28">
      <c r="A229" s="1122" t="s">
        <v>58</v>
      </c>
      <c r="B229" s="135" t="s">
        <v>326</v>
      </c>
      <c r="C229" s="136">
        <f>+C230+C231</f>
        <v>0</v>
      </c>
      <c r="D229" s="137">
        <f>+D230+D231</f>
        <v>0</v>
      </c>
      <c r="E229" s="138">
        <f>+E230+E231</f>
        <v>0</v>
      </c>
      <c r="F229" s="139">
        <f>+F230+F231</f>
        <v>0</v>
      </c>
      <c r="H229" s="141">
        <f t="shared" si="16"/>
        <v>0</v>
      </c>
    </row>
    <row r="230" spans="1:28" s="140" customFormat="1">
      <c r="A230" s="127" t="s">
        <v>293</v>
      </c>
      <c r="B230" s="128" t="s">
        <v>291</v>
      </c>
      <c r="C230" s="134">
        <f>+C91+C95</f>
        <v>0</v>
      </c>
      <c r="D230" s="769">
        <f>+D91+D95</f>
        <v>0</v>
      </c>
      <c r="E230" s="770">
        <f>+E91+E95</f>
        <v>0</v>
      </c>
      <c r="F230" s="771">
        <f>+F91+F95</f>
        <v>0</v>
      </c>
      <c r="H230" s="140">
        <f t="shared" si="16"/>
        <v>0</v>
      </c>
    </row>
    <row r="231" spans="1:28" s="140" customFormat="1">
      <c r="A231" s="127" t="s">
        <v>294</v>
      </c>
      <c r="B231" s="128" t="s">
        <v>292</v>
      </c>
      <c r="C231" s="134">
        <f>+C89+C90+C92+C93+C94+C96</f>
        <v>0</v>
      </c>
      <c r="D231" s="769">
        <f>+D89+D90+D92+D93+D94+D96</f>
        <v>0</v>
      </c>
      <c r="E231" s="770">
        <f>+E89+E90+E92+E93+E94+E96</f>
        <v>0</v>
      </c>
      <c r="F231" s="771">
        <f>+F89+F90+F92+F93+F94+F96</f>
        <v>0</v>
      </c>
      <c r="H231" s="140">
        <f t="shared" si="16"/>
        <v>0</v>
      </c>
    </row>
    <row r="232" spans="1:28">
      <c r="A232" s="1126" t="s">
        <v>59</v>
      </c>
      <c r="B232" s="1127" t="s">
        <v>327</v>
      </c>
      <c r="C232" s="129">
        <f>+C233+C234</f>
        <v>0</v>
      </c>
      <c r="D232" s="1094">
        <f>+D233+D234</f>
        <v>0</v>
      </c>
      <c r="E232" s="1095">
        <f>+E233+E234</f>
        <v>0</v>
      </c>
      <c r="F232" s="1096">
        <f>+F233+F234</f>
        <v>0</v>
      </c>
      <c r="H232" s="141">
        <f t="shared" si="16"/>
        <v>0</v>
      </c>
    </row>
    <row r="233" spans="1:28" s="140" customFormat="1">
      <c r="A233" s="127" t="s">
        <v>295</v>
      </c>
      <c r="B233" s="128" t="s">
        <v>289</v>
      </c>
      <c r="C233" s="134">
        <f>+C200</f>
        <v>0</v>
      </c>
      <c r="D233" s="769">
        <f>+D200</f>
        <v>0</v>
      </c>
      <c r="E233" s="770">
        <f>+E200</f>
        <v>0</v>
      </c>
      <c r="F233" s="771">
        <f>+F200</f>
        <v>0</v>
      </c>
      <c r="H233" s="140">
        <f t="shared" si="16"/>
        <v>0</v>
      </c>
    </row>
    <row r="234" spans="1:28" s="140" customFormat="1" ht="12.75" thickBot="1">
      <c r="A234" s="1170" t="s">
        <v>296</v>
      </c>
      <c r="B234" s="1171" t="s">
        <v>290</v>
      </c>
      <c r="C234" s="1172">
        <f>+C195+C196+C197+C198+C199+C201+C202</f>
        <v>0</v>
      </c>
      <c r="D234" s="1173">
        <f>+D195+D196+D197+D198+D199+D201+D202</f>
        <v>0</v>
      </c>
      <c r="E234" s="1174">
        <f>+E195+E196+E197+E198+E199+E201+E202</f>
        <v>0</v>
      </c>
      <c r="F234" s="1175">
        <f>+F195+F196+F197+F198+F199+F201+F202</f>
        <v>0</v>
      </c>
      <c r="H234" s="140">
        <f t="shared" si="16"/>
        <v>0</v>
      </c>
    </row>
    <row r="237" spans="1:28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s="1104" customFormat="1" ht="12.75" thickBot="1">
      <c r="A238" s="1103" t="s">
        <v>284</v>
      </c>
      <c r="F238" s="1105"/>
    </row>
    <row r="239" spans="1:28" s="143" customFormat="1">
      <c r="A239" s="1176" t="s">
        <v>4</v>
      </c>
      <c r="B239" s="1177" t="s">
        <v>91</v>
      </c>
      <c r="C239" s="1178">
        <f>+D239+E239+F239</f>
        <v>90</v>
      </c>
      <c r="D239" s="1179">
        <v>84</v>
      </c>
      <c r="E239" s="1180">
        <v>6</v>
      </c>
      <c r="F239" s="1181"/>
      <c r="H239" s="143">
        <f t="shared" si="16"/>
        <v>0</v>
      </c>
    </row>
    <row r="240" spans="1:28" s="140" customFormat="1">
      <c r="A240" s="1130" t="s">
        <v>351</v>
      </c>
      <c r="B240" s="1182" t="s">
        <v>352</v>
      </c>
      <c r="C240" s="1183">
        <f>+D240+E240+F240</f>
        <v>0</v>
      </c>
      <c r="D240" s="1184"/>
      <c r="E240" s="1185"/>
      <c r="F240" s="1186"/>
      <c r="H240" s="140">
        <f t="shared" si="16"/>
        <v>0</v>
      </c>
    </row>
    <row r="241" spans="1:8" s="143" customFormat="1" ht="12.75" thickBot="1">
      <c r="A241" s="1187" t="s">
        <v>5</v>
      </c>
      <c r="B241" s="1188" t="s">
        <v>92</v>
      </c>
      <c r="C241" s="1189">
        <f>+D241+E241+F241</f>
        <v>0</v>
      </c>
      <c r="D241" s="1190"/>
      <c r="E241" s="1191"/>
      <c r="F241" s="1192"/>
      <c r="H241" s="143">
        <f t="shared" si="16"/>
        <v>0</v>
      </c>
    </row>
    <row r="242" spans="1:8" s="143" customFormat="1" ht="12.75" thickBot="1">
      <c r="A242" s="1113" t="s">
        <v>6</v>
      </c>
      <c r="B242" s="1136" t="s">
        <v>330</v>
      </c>
      <c r="C242" s="1193">
        <f>+C239+C241</f>
        <v>90</v>
      </c>
      <c r="D242" s="1194">
        <f>+D239+D241</f>
        <v>84</v>
      </c>
      <c r="E242" s="1195">
        <f>+E239+E241</f>
        <v>6</v>
      </c>
      <c r="F242" s="1196">
        <f>+F239+F241</f>
        <v>0</v>
      </c>
      <c r="H242" s="143">
        <f t="shared" si="16"/>
        <v>0</v>
      </c>
    </row>
  </sheetData>
  <mergeCells count="9">
    <mergeCell ref="A211:F211"/>
    <mergeCell ref="A218:F218"/>
    <mergeCell ref="A237:F237"/>
    <mergeCell ref="A3:F3"/>
    <mergeCell ref="A4:F4"/>
    <mergeCell ref="A6:F6"/>
    <mergeCell ref="C9:F9"/>
    <mergeCell ref="A105:F105"/>
    <mergeCell ref="C108:F10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1.2. melléklet - &amp;P. oldal</oddHeader>
  </headerFooter>
  <rowBreaks count="1" manualBreakCount="1">
    <brk id="10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">
    <tabColor rgb="FF00B0F0"/>
  </sheetPr>
  <dimension ref="A1:AB242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6" width="9.28515625" style="141" customWidth="1"/>
    <col min="7" max="7" width="0" style="141" hidden="1" customWidth="1"/>
    <col min="8" max="8" width="9.140625" style="141" hidden="1" customWidth="1"/>
    <col min="9" max="16384" width="9.140625" style="141"/>
  </cols>
  <sheetData>
    <row r="1" spans="1:8" s="1100" customFormat="1" ht="15.75">
      <c r="F1" s="1101" t="s">
        <v>356</v>
      </c>
    </row>
    <row r="2" spans="1:8" s="1100" customFormat="1" ht="15.75"/>
    <row r="3" spans="1:8" s="1102" customFormat="1" ht="15.75">
      <c r="A3" s="1441" t="s">
        <v>357</v>
      </c>
      <c r="B3" s="1441"/>
      <c r="C3" s="1441"/>
      <c r="D3" s="1441"/>
      <c r="E3" s="1441"/>
      <c r="F3" s="1441"/>
    </row>
    <row r="4" spans="1:8" s="1102" customFormat="1" ht="15.75">
      <c r="A4" s="1441" t="s">
        <v>1319</v>
      </c>
      <c r="B4" s="1441"/>
      <c r="C4" s="1441"/>
      <c r="D4" s="1441"/>
      <c r="E4" s="1441"/>
      <c r="F4" s="1441"/>
    </row>
    <row r="5" spans="1:8" s="1100" customFormat="1" ht="15.75"/>
    <row r="6" spans="1:8" s="1102" customFormat="1" ht="15.75">
      <c r="A6" s="1441" t="s">
        <v>48</v>
      </c>
      <c r="B6" s="1441"/>
      <c r="C6" s="1441"/>
      <c r="D6" s="1441"/>
      <c r="E6" s="1441"/>
      <c r="F6" s="1441"/>
    </row>
    <row r="7" spans="1:8" s="1104" customFormat="1" ht="12.75" thickBot="1">
      <c r="A7" s="1103" t="s">
        <v>280</v>
      </c>
      <c r="F7" s="1105" t="s">
        <v>281</v>
      </c>
    </row>
    <row r="8" spans="1:8" s="1112" customFormat="1" ht="48.75" thickBot="1">
      <c r="A8" s="1106" t="s">
        <v>17</v>
      </c>
      <c r="B8" s="1107" t="s">
        <v>328</v>
      </c>
      <c r="C8" s="1108" t="s">
        <v>1317</v>
      </c>
      <c r="D8" s="1109" t="s">
        <v>51</v>
      </c>
      <c r="E8" s="1110" t="s">
        <v>52</v>
      </c>
      <c r="F8" s="1111" t="s">
        <v>53</v>
      </c>
    </row>
    <row r="9" spans="1:8" s="143" customFormat="1" ht="12.75" thickBot="1">
      <c r="A9" s="1113" t="s">
        <v>253</v>
      </c>
      <c r="B9" s="1114" t="s">
        <v>254</v>
      </c>
      <c r="C9" s="1448" t="s">
        <v>255</v>
      </c>
      <c r="D9" s="1449"/>
      <c r="E9" s="1449"/>
      <c r="F9" s="1450"/>
    </row>
    <row r="10" spans="1:8" s="143" customFormat="1" ht="12.75" thickBot="1">
      <c r="A10" s="1115" t="s">
        <v>4</v>
      </c>
      <c r="B10" s="1116" t="s">
        <v>297</v>
      </c>
      <c r="C10" s="1117">
        <f>+C11+C25+C32+C44</f>
        <v>19872</v>
      </c>
      <c r="D10" s="1118">
        <f>+D11+D25+D32+D44</f>
        <v>19872</v>
      </c>
      <c r="E10" s="1119">
        <f>+E11+E25+E32+E44</f>
        <v>0</v>
      </c>
      <c r="F10" s="1120">
        <f>+F11+F25+F32+F44</f>
        <v>0</v>
      </c>
      <c r="H10" s="143">
        <f>+C10-D10-E10-F10</f>
        <v>0</v>
      </c>
    </row>
    <row r="11" spans="1:8" s="143" customFormat="1" ht="12.75" thickBot="1">
      <c r="A11" s="1113" t="s">
        <v>5</v>
      </c>
      <c r="B11" s="1121" t="s">
        <v>298</v>
      </c>
      <c r="C11" s="130">
        <f>+C12+C19+C20+C21+C22+C23</f>
        <v>0</v>
      </c>
      <c r="D11" s="131">
        <f>+D12+D19+D20+D21+D22+D23</f>
        <v>0</v>
      </c>
      <c r="E11" s="132">
        <f>+E12+E19+E20+E21+E22+E23</f>
        <v>0</v>
      </c>
      <c r="F11" s="133">
        <f>+F12+F19+F20+F21+F22+F23</f>
        <v>0</v>
      </c>
      <c r="H11" s="143">
        <f t="shared" ref="H11:H74" si="0">+C11-D11-E11-F11</f>
        <v>0</v>
      </c>
    </row>
    <row r="12" spans="1:8" s="143" customFormat="1">
      <c r="A12" s="1122" t="s">
        <v>54</v>
      </c>
      <c r="B12" s="135" t="s">
        <v>299</v>
      </c>
      <c r="C12" s="136">
        <f>+C13+C14+C15+C16+C17+C18</f>
        <v>0</v>
      </c>
      <c r="D12" s="1123">
        <f>+D13+D14+D15+D16+D17+D18</f>
        <v>0</v>
      </c>
      <c r="E12" s="1124">
        <f>+E13+E14+E15+E16+E17+E18</f>
        <v>0</v>
      </c>
      <c r="F12" s="1125">
        <f>+F13+F14+F15+F16+F17+F18</f>
        <v>0</v>
      </c>
      <c r="H12" s="141">
        <f t="shared" si="0"/>
        <v>0</v>
      </c>
    </row>
    <row r="13" spans="1:8" s="140" customFormat="1">
      <c r="A13" s="127" t="s">
        <v>190</v>
      </c>
      <c r="B13" s="128" t="s">
        <v>93</v>
      </c>
      <c r="C13" s="134">
        <f>+D13+E13+F13</f>
        <v>0</v>
      </c>
      <c r="D13" s="769"/>
      <c r="E13" s="770"/>
      <c r="F13" s="771"/>
      <c r="H13" s="140">
        <f t="shared" si="0"/>
        <v>0</v>
      </c>
    </row>
    <row r="14" spans="1:8" s="140" customFormat="1">
      <c r="A14" s="127" t="s">
        <v>191</v>
      </c>
      <c r="B14" s="128" t="s">
        <v>94</v>
      </c>
      <c r="C14" s="134">
        <f t="shared" ref="C14:C24" si="1">+D14+E14+F14</f>
        <v>0</v>
      </c>
      <c r="D14" s="769"/>
      <c r="E14" s="770"/>
      <c r="F14" s="771"/>
      <c r="H14" s="140">
        <f t="shared" si="0"/>
        <v>0</v>
      </c>
    </row>
    <row r="15" spans="1:8" s="140" customFormat="1">
      <c r="A15" s="127" t="s">
        <v>192</v>
      </c>
      <c r="B15" s="128" t="s">
        <v>95</v>
      </c>
      <c r="C15" s="134">
        <f t="shared" si="1"/>
        <v>0</v>
      </c>
      <c r="D15" s="769"/>
      <c r="E15" s="770"/>
      <c r="F15" s="771"/>
      <c r="H15" s="140">
        <f t="shared" si="0"/>
        <v>0</v>
      </c>
    </row>
    <row r="16" spans="1:8" s="140" customFormat="1">
      <c r="A16" s="127" t="s">
        <v>193</v>
      </c>
      <c r="B16" s="128" t="s">
        <v>96</v>
      </c>
      <c r="C16" s="134">
        <f t="shared" si="1"/>
        <v>0</v>
      </c>
      <c r="D16" s="769"/>
      <c r="E16" s="770"/>
      <c r="F16" s="771"/>
      <c r="H16" s="140">
        <f t="shared" si="0"/>
        <v>0</v>
      </c>
    </row>
    <row r="17" spans="1:8" s="140" customFormat="1">
      <c r="A17" s="127" t="s">
        <v>194</v>
      </c>
      <c r="B17" s="128" t="s">
        <v>905</v>
      </c>
      <c r="C17" s="134">
        <f t="shared" si="1"/>
        <v>0</v>
      </c>
      <c r="D17" s="769"/>
      <c r="E17" s="770"/>
      <c r="F17" s="771"/>
      <c r="H17" s="140">
        <f t="shared" si="0"/>
        <v>0</v>
      </c>
    </row>
    <row r="18" spans="1:8" s="140" customFormat="1">
      <c r="A18" s="127" t="s">
        <v>195</v>
      </c>
      <c r="B18" s="128" t="s">
        <v>906</v>
      </c>
      <c r="C18" s="134">
        <f t="shared" si="1"/>
        <v>0</v>
      </c>
      <c r="D18" s="769"/>
      <c r="E18" s="770"/>
      <c r="F18" s="771"/>
      <c r="H18" s="140">
        <f t="shared" si="0"/>
        <v>0</v>
      </c>
    </row>
    <row r="19" spans="1:8">
      <c r="A19" s="1126" t="s">
        <v>55</v>
      </c>
      <c r="B19" s="1127" t="s">
        <v>97</v>
      </c>
      <c r="C19" s="129">
        <f t="shared" si="1"/>
        <v>0</v>
      </c>
      <c r="D19" s="1094"/>
      <c r="E19" s="1095"/>
      <c r="F19" s="1096"/>
      <c r="H19" s="141">
        <f t="shared" si="0"/>
        <v>0</v>
      </c>
    </row>
    <row r="20" spans="1:8">
      <c r="A20" s="1126" t="s">
        <v>83</v>
      </c>
      <c r="B20" s="1127" t="s">
        <v>98</v>
      </c>
      <c r="C20" s="129">
        <f t="shared" si="1"/>
        <v>0</v>
      </c>
      <c r="D20" s="1094"/>
      <c r="E20" s="1095"/>
      <c r="F20" s="1096"/>
      <c r="H20" s="141">
        <f t="shared" si="0"/>
        <v>0</v>
      </c>
    </row>
    <row r="21" spans="1:8">
      <c r="A21" s="1126" t="s">
        <v>84</v>
      </c>
      <c r="B21" s="1127" t="s">
        <v>99</v>
      </c>
      <c r="C21" s="129">
        <f t="shared" si="1"/>
        <v>0</v>
      </c>
      <c r="D21" s="1094"/>
      <c r="E21" s="1095"/>
      <c r="F21" s="1096"/>
      <c r="H21" s="141">
        <f t="shared" si="0"/>
        <v>0</v>
      </c>
    </row>
    <row r="22" spans="1:8">
      <c r="A22" s="1126" t="s">
        <v>85</v>
      </c>
      <c r="B22" s="1127" t="s">
        <v>100</v>
      </c>
      <c r="C22" s="129">
        <f t="shared" si="1"/>
        <v>0</v>
      </c>
      <c r="D22" s="1094"/>
      <c r="E22" s="1095"/>
      <c r="F22" s="1096"/>
      <c r="H22" s="141">
        <f t="shared" si="0"/>
        <v>0</v>
      </c>
    </row>
    <row r="23" spans="1:8">
      <c r="A23" s="1128" t="s">
        <v>86</v>
      </c>
      <c r="B23" s="1129" t="s">
        <v>101</v>
      </c>
      <c r="C23" s="142">
        <f t="shared" si="1"/>
        <v>0</v>
      </c>
      <c r="D23" s="1097"/>
      <c r="E23" s="1098"/>
      <c r="F23" s="1099"/>
      <c r="H23" s="141">
        <f t="shared" si="0"/>
        <v>0</v>
      </c>
    </row>
    <row r="24" spans="1:8" s="140" customFormat="1" ht="12.75" thickBot="1">
      <c r="A24" s="1130" t="s">
        <v>332</v>
      </c>
      <c r="B24" s="1131" t="s">
        <v>333</v>
      </c>
      <c r="C24" s="1132">
        <f t="shared" si="1"/>
        <v>0</v>
      </c>
      <c r="D24" s="1133"/>
      <c r="E24" s="1134"/>
      <c r="F24" s="1135"/>
      <c r="H24" s="140">
        <f t="shared" si="0"/>
        <v>0</v>
      </c>
    </row>
    <row r="25" spans="1:8" s="143" customFormat="1" ht="12.75" thickBot="1">
      <c r="A25" s="1113" t="s">
        <v>6</v>
      </c>
      <c r="B25" s="1121" t="s">
        <v>787</v>
      </c>
      <c r="C25" s="130">
        <f>+C26+C27+C28+C29+C30+C31</f>
        <v>0</v>
      </c>
      <c r="D25" s="131">
        <f>+D26+D27+D28+D29+D30+D31</f>
        <v>0</v>
      </c>
      <c r="E25" s="132">
        <f>+E26+E27+E28+E29+E30+E31</f>
        <v>0</v>
      </c>
      <c r="F25" s="133">
        <f>+F26+F27+F28+F29+F30+F31</f>
        <v>0</v>
      </c>
      <c r="H25" s="143">
        <f t="shared" si="0"/>
        <v>0</v>
      </c>
    </row>
    <row r="26" spans="1:8">
      <c r="A26" s="1122" t="s">
        <v>58</v>
      </c>
      <c r="B26" s="135" t="s">
        <v>102</v>
      </c>
      <c r="C26" s="136">
        <f t="shared" ref="C26:C31" si="2">+D26+E26+F26</f>
        <v>0</v>
      </c>
      <c r="D26" s="137"/>
      <c r="E26" s="138"/>
      <c r="F26" s="139"/>
      <c r="H26" s="141">
        <f t="shared" si="0"/>
        <v>0</v>
      </c>
    </row>
    <row r="27" spans="1:8">
      <c r="A27" s="1126" t="s">
        <v>59</v>
      </c>
      <c r="B27" s="1127" t="s">
        <v>103</v>
      </c>
      <c r="C27" s="129">
        <f t="shared" si="2"/>
        <v>0</v>
      </c>
      <c r="D27" s="1094"/>
      <c r="E27" s="1095"/>
      <c r="F27" s="1096"/>
      <c r="H27" s="141">
        <f t="shared" si="0"/>
        <v>0</v>
      </c>
    </row>
    <row r="28" spans="1:8">
      <c r="A28" s="1126" t="s">
        <v>60</v>
      </c>
      <c r="B28" s="1127" t="s">
        <v>104</v>
      </c>
      <c r="C28" s="129">
        <f t="shared" si="2"/>
        <v>0</v>
      </c>
      <c r="D28" s="1094"/>
      <c r="E28" s="1095"/>
      <c r="F28" s="1096"/>
      <c r="H28" s="141">
        <f t="shared" si="0"/>
        <v>0</v>
      </c>
    </row>
    <row r="29" spans="1:8">
      <c r="A29" s="1126" t="s">
        <v>180</v>
      </c>
      <c r="B29" s="1127" t="s">
        <v>105</v>
      </c>
      <c r="C29" s="129">
        <f t="shared" si="2"/>
        <v>0</v>
      </c>
      <c r="D29" s="1094"/>
      <c r="E29" s="1095"/>
      <c r="F29" s="1096"/>
      <c r="H29" s="141">
        <f t="shared" si="0"/>
        <v>0</v>
      </c>
    </row>
    <row r="30" spans="1:8">
      <c r="A30" s="1128" t="s">
        <v>181</v>
      </c>
      <c r="B30" s="1129" t="s">
        <v>106</v>
      </c>
      <c r="C30" s="142">
        <f t="shared" si="2"/>
        <v>0</v>
      </c>
      <c r="D30" s="1094"/>
      <c r="E30" s="1095"/>
      <c r="F30" s="1096"/>
      <c r="H30" s="141">
        <f t="shared" si="0"/>
        <v>0</v>
      </c>
    </row>
    <row r="31" spans="1:8" ht="12.75" thickBot="1">
      <c r="A31" s="1128" t="s">
        <v>786</v>
      </c>
      <c r="B31" s="1129" t="s">
        <v>788</v>
      </c>
      <c r="C31" s="142">
        <f t="shared" si="2"/>
        <v>0</v>
      </c>
      <c r="D31" s="1094"/>
      <c r="E31" s="1095"/>
      <c r="F31" s="1096"/>
      <c r="H31" s="141">
        <f t="shared" si="0"/>
        <v>0</v>
      </c>
    </row>
    <row r="32" spans="1:8" s="143" customFormat="1" ht="12.75" thickBot="1">
      <c r="A32" s="1113" t="s">
        <v>3</v>
      </c>
      <c r="B32" s="1121" t="s">
        <v>981</v>
      </c>
      <c r="C32" s="130">
        <f>+C33+C34+C35+C36+C37+C38+C39+C40+C41+C42+C43</f>
        <v>19872</v>
      </c>
      <c r="D32" s="131">
        <f>+D33+D34+D35+D36+D37+D38+D39+D40+D41+D42+D43</f>
        <v>19872</v>
      </c>
      <c r="E32" s="132">
        <f>+E33+E34+E35+E36+E37+E38+E39+E40+E41+E42+E43</f>
        <v>0</v>
      </c>
      <c r="F32" s="133">
        <f>+F33+F34+F35+F36+F37+F38+F39+F40+F41+F42+F43</f>
        <v>0</v>
      </c>
      <c r="H32" s="143">
        <f t="shared" si="0"/>
        <v>0</v>
      </c>
    </row>
    <row r="33" spans="1:8">
      <c r="A33" s="1122" t="s">
        <v>61</v>
      </c>
      <c r="B33" s="135" t="s">
        <v>107</v>
      </c>
      <c r="C33" s="136">
        <f t="shared" ref="C33:C43" si="3">+D33+E33+F33</f>
        <v>0</v>
      </c>
      <c r="D33" s="137"/>
      <c r="E33" s="138"/>
      <c r="F33" s="139"/>
      <c r="H33" s="141">
        <f t="shared" si="0"/>
        <v>0</v>
      </c>
    </row>
    <row r="34" spans="1:8">
      <c r="A34" s="1126" t="s">
        <v>62</v>
      </c>
      <c r="B34" s="1127" t="s">
        <v>108</v>
      </c>
      <c r="C34" s="129">
        <f t="shared" si="3"/>
        <v>4413</v>
      </c>
      <c r="D34" s="1094">
        <v>4413</v>
      </c>
      <c r="E34" s="1095"/>
      <c r="F34" s="1096"/>
      <c r="H34" s="141">
        <f t="shared" si="0"/>
        <v>0</v>
      </c>
    </row>
    <row r="35" spans="1:8">
      <c r="A35" s="1126" t="s">
        <v>63</v>
      </c>
      <c r="B35" s="1127" t="s">
        <v>109</v>
      </c>
      <c r="C35" s="129">
        <f t="shared" si="3"/>
        <v>2000</v>
      </c>
      <c r="D35" s="1094">
        <v>2000</v>
      </c>
      <c r="E35" s="1095"/>
      <c r="F35" s="1096"/>
      <c r="H35" s="141">
        <f t="shared" si="0"/>
        <v>0</v>
      </c>
    </row>
    <row r="36" spans="1:8">
      <c r="A36" s="1126" t="s">
        <v>64</v>
      </c>
      <c r="B36" s="1127" t="s">
        <v>110</v>
      </c>
      <c r="C36" s="129">
        <f t="shared" si="3"/>
        <v>0</v>
      </c>
      <c r="D36" s="1094"/>
      <c r="E36" s="1095"/>
      <c r="F36" s="1096"/>
      <c r="H36" s="141">
        <f t="shared" si="0"/>
        <v>0</v>
      </c>
    </row>
    <row r="37" spans="1:8">
      <c r="A37" s="1126" t="s">
        <v>65</v>
      </c>
      <c r="B37" s="1127" t="s">
        <v>111</v>
      </c>
      <c r="C37" s="129">
        <f t="shared" si="3"/>
        <v>8734</v>
      </c>
      <c r="D37" s="1094">
        <v>8734</v>
      </c>
      <c r="E37" s="1095"/>
      <c r="F37" s="1096"/>
      <c r="H37" s="141">
        <f t="shared" si="0"/>
        <v>0</v>
      </c>
    </row>
    <row r="38" spans="1:8">
      <c r="A38" s="1126" t="s">
        <v>222</v>
      </c>
      <c r="B38" s="1127" t="s">
        <v>112</v>
      </c>
      <c r="C38" s="129">
        <f t="shared" si="3"/>
        <v>4089</v>
      </c>
      <c r="D38" s="1094">
        <v>4089</v>
      </c>
      <c r="E38" s="1095"/>
      <c r="F38" s="1096"/>
      <c r="H38" s="141">
        <f t="shared" si="0"/>
        <v>0</v>
      </c>
    </row>
    <row r="39" spans="1:8">
      <c r="A39" s="1126" t="s">
        <v>223</v>
      </c>
      <c r="B39" s="1127" t="s">
        <v>113</v>
      </c>
      <c r="C39" s="129">
        <f t="shared" si="3"/>
        <v>636</v>
      </c>
      <c r="D39" s="1094">
        <v>636</v>
      </c>
      <c r="E39" s="1095"/>
      <c r="F39" s="1096"/>
      <c r="H39" s="141">
        <f t="shared" si="0"/>
        <v>0</v>
      </c>
    </row>
    <row r="40" spans="1:8">
      <c r="A40" s="1126" t="s">
        <v>224</v>
      </c>
      <c r="B40" s="1127" t="s">
        <v>991</v>
      </c>
      <c r="C40" s="129">
        <f t="shared" si="3"/>
        <v>0</v>
      </c>
      <c r="D40" s="1094"/>
      <c r="E40" s="1095"/>
      <c r="F40" s="1096"/>
      <c r="H40" s="141">
        <f t="shared" si="0"/>
        <v>0</v>
      </c>
    </row>
    <row r="41" spans="1:8">
      <c r="A41" s="1126" t="s">
        <v>225</v>
      </c>
      <c r="B41" s="1127" t="s">
        <v>114</v>
      </c>
      <c r="C41" s="129">
        <f t="shared" si="3"/>
        <v>0</v>
      </c>
      <c r="D41" s="1094"/>
      <c r="E41" s="1095"/>
      <c r="F41" s="1096"/>
      <c r="H41" s="141">
        <f t="shared" si="0"/>
        <v>0</v>
      </c>
    </row>
    <row r="42" spans="1:8">
      <c r="A42" s="1128" t="s">
        <v>226</v>
      </c>
      <c r="B42" s="1129" t="s">
        <v>908</v>
      </c>
      <c r="C42" s="129">
        <f>+D42+E42+F42</f>
        <v>0</v>
      </c>
      <c r="D42" s="1094"/>
      <c r="E42" s="1095"/>
      <c r="F42" s="1096"/>
      <c r="H42" s="141">
        <f t="shared" si="0"/>
        <v>0</v>
      </c>
    </row>
    <row r="43" spans="1:8" ht="12.75" thickBot="1">
      <c r="A43" s="1128" t="s">
        <v>907</v>
      </c>
      <c r="B43" s="1129" t="s">
        <v>909</v>
      </c>
      <c r="C43" s="142">
        <f t="shared" si="3"/>
        <v>0</v>
      </c>
      <c r="D43" s="1097"/>
      <c r="E43" s="1098"/>
      <c r="F43" s="1099"/>
      <c r="H43" s="141">
        <f t="shared" si="0"/>
        <v>0</v>
      </c>
    </row>
    <row r="44" spans="1:8" s="143" customFormat="1" ht="12.75" thickBot="1">
      <c r="A44" s="1113" t="s">
        <v>16</v>
      </c>
      <c r="B44" s="1121" t="s">
        <v>982</v>
      </c>
      <c r="C44" s="130">
        <f>+C45+C46+C47+C48+C49</f>
        <v>0</v>
      </c>
      <c r="D44" s="131">
        <f>+D45+D46+D47+D48+D49</f>
        <v>0</v>
      </c>
      <c r="E44" s="132">
        <f>+E45+E46+E47+E48+E49</f>
        <v>0</v>
      </c>
      <c r="F44" s="133">
        <f>+F45+F46+F47+F48+F49</f>
        <v>0</v>
      </c>
      <c r="H44" s="143">
        <f t="shared" si="0"/>
        <v>0</v>
      </c>
    </row>
    <row r="45" spans="1:8">
      <c r="A45" s="1122" t="s">
        <v>227</v>
      </c>
      <c r="B45" s="135" t="s">
        <v>115</v>
      </c>
      <c r="C45" s="136">
        <f>+D45+E45+F45</f>
        <v>0</v>
      </c>
      <c r="D45" s="137"/>
      <c r="E45" s="138"/>
      <c r="F45" s="139"/>
      <c r="H45" s="141">
        <f t="shared" si="0"/>
        <v>0</v>
      </c>
    </row>
    <row r="46" spans="1:8">
      <c r="A46" s="1122" t="s">
        <v>228</v>
      </c>
      <c r="B46" s="135" t="s">
        <v>910</v>
      </c>
      <c r="C46" s="136">
        <f>+D46+E46+F46</f>
        <v>0</v>
      </c>
      <c r="D46" s="137"/>
      <c r="E46" s="138"/>
      <c r="F46" s="139"/>
      <c r="H46" s="141">
        <f t="shared" si="0"/>
        <v>0</v>
      </c>
    </row>
    <row r="47" spans="1:8">
      <c r="A47" s="1122" t="s">
        <v>229</v>
      </c>
      <c r="B47" s="135" t="s">
        <v>911</v>
      </c>
      <c r="C47" s="136">
        <f>+D47+E47+F47</f>
        <v>0</v>
      </c>
      <c r="D47" s="137"/>
      <c r="E47" s="138"/>
      <c r="F47" s="139"/>
      <c r="H47" s="141">
        <f t="shared" si="0"/>
        <v>0</v>
      </c>
    </row>
    <row r="48" spans="1:8">
      <c r="A48" s="1126" t="s">
        <v>257</v>
      </c>
      <c r="B48" s="1127" t="s">
        <v>912</v>
      </c>
      <c r="C48" s="129">
        <f>+D48+E48+F48</f>
        <v>0</v>
      </c>
      <c r="D48" s="1094"/>
      <c r="E48" s="1095"/>
      <c r="F48" s="1096"/>
      <c r="H48" s="141">
        <f t="shared" si="0"/>
        <v>0</v>
      </c>
    </row>
    <row r="49" spans="1:8" ht="12.75" thickBot="1">
      <c r="A49" s="1128" t="s">
        <v>258</v>
      </c>
      <c r="B49" s="1129" t="s">
        <v>913</v>
      </c>
      <c r="C49" s="142">
        <f>+D49+E49+F49</f>
        <v>0</v>
      </c>
      <c r="D49" s="1097"/>
      <c r="E49" s="1098"/>
      <c r="F49" s="1099"/>
      <c r="H49" s="141">
        <f t="shared" si="0"/>
        <v>0</v>
      </c>
    </row>
    <row r="50" spans="1:8" s="143" customFormat="1" ht="12.75" thickBot="1">
      <c r="A50" s="1113" t="s">
        <v>15</v>
      </c>
      <c r="B50" s="1136" t="s">
        <v>300</v>
      </c>
      <c r="C50" s="130">
        <f>+C51+C58+C64</f>
        <v>0</v>
      </c>
      <c r="D50" s="131">
        <f>+D51+D58+D64</f>
        <v>0</v>
      </c>
      <c r="E50" s="132">
        <f>+E51+E58+E64</f>
        <v>0</v>
      </c>
      <c r="F50" s="133">
        <f>+F51+F58+F64</f>
        <v>0</v>
      </c>
      <c r="H50" s="143">
        <f t="shared" si="0"/>
        <v>0</v>
      </c>
    </row>
    <row r="51" spans="1:8" s="143" customFormat="1" ht="12.75" thickBot="1">
      <c r="A51" s="1113" t="s">
        <v>14</v>
      </c>
      <c r="B51" s="1121" t="s">
        <v>301</v>
      </c>
      <c r="C51" s="130">
        <f>+C52+C53+C54+C55+C56</f>
        <v>0</v>
      </c>
      <c r="D51" s="131">
        <f>+D52+D53+D54+D55+D56</f>
        <v>0</v>
      </c>
      <c r="E51" s="132">
        <f>+E52+E53+E54+E55+E56</f>
        <v>0</v>
      </c>
      <c r="F51" s="133">
        <f>+F52+F53+F54+F55+F56</f>
        <v>0</v>
      </c>
      <c r="H51" s="143">
        <f t="shared" si="0"/>
        <v>0</v>
      </c>
    </row>
    <row r="52" spans="1:8">
      <c r="A52" s="1122" t="s">
        <v>185</v>
      </c>
      <c r="B52" s="135" t="s">
        <v>116</v>
      </c>
      <c r="C52" s="136">
        <f t="shared" ref="C52:C57" si="4">+D52+E52+F52</f>
        <v>0</v>
      </c>
      <c r="D52" s="137"/>
      <c r="E52" s="138"/>
      <c r="F52" s="139"/>
      <c r="H52" s="141">
        <f t="shared" si="0"/>
        <v>0</v>
      </c>
    </row>
    <row r="53" spans="1:8">
      <c r="A53" s="1126" t="s">
        <v>186</v>
      </c>
      <c r="B53" s="1127" t="s">
        <v>117</v>
      </c>
      <c r="C53" s="129">
        <f t="shared" si="4"/>
        <v>0</v>
      </c>
      <c r="D53" s="1094"/>
      <c r="E53" s="1095"/>
      <c r="F53" s="1096"/>
      <c r="H53" s="141">
        <f t="shared" si="0"/>
        <v>0</v>
      </c>
    </row>
    <row r="54" spans="1:8">
      <c r="A54" s="1126" t="s">
        <v>187</v>
      </c>
      <c r="B54" s="1127" t="s">
        <v>118</v>
      </c>
      <c r="C54" s="129">
        <f t="shared" si="4"/>
        <v>0</v>
      </c>
      <c r="D54" s="1094"/>
      <c r="E54" s="1095"/>
      <c r="F54" s="1096"/>
      <c r="H54" s="141">
        <f t="shared" si="0"/>
        <v>0</v>
      </c>
    </row>
    <row r="55" spans="1:8">
      <c r="A55" s="1126" t="s">
        <v>188</v>
      </c>
      <c r="B55" s="1127" t="s">
        <v>119</v>
      </c>
      <c r="C55" s="129">
        <f t="shared" si="4"/>
        <v>0</v>
      </c>
      <c r="D55" s="1094"/>
      <c r="E55" s="1095"/>
      <c r="F55" s="1096"/>
      <c r="H55" s="141">
        <f t="shared" si="0"/>
        <v>0</v>
      </c>
    </row>
    <row r="56" spans="1:8">
      <c r="A56" s="1128" t="s">
        <v>189</v>
      </c>
      <c r="B56" s="1129" t="s">
        <v>120</v>
      </c>
      <c r="C56" s="142">
        <f t="shared" si="4"/>
        <v>0</v>
      </c>
      <c r="D56" s="1097"/>
      <c r="E56" s="1098"/>
      <c r="F56" s="1099"/>
      <c r="H56" s="141">
        <f t="shared" si="0"/>
        <v>0</v>
      </c>
    </row>
    <row r="57" spans="1:8" s="140" customFormat="1" ht="12.75" thickBot="1">
      <c r="A57" s="1130" t="s">
        <v>334</v>
      </c>
      <c r="B57" s="1131" t="s">
        <v>338</v>
      </c>
      <c r="C57" s="1132">
        <f t="shared" si="4"/>
        <v>0</v>
      </c>
      <c r="D57" s="1133"/>
      <c r="E57" s="1134"/>
      <c r="F57" s="1135"/>
      <c r="H57" s="140">
        <f t="shared" si="0"/>
        <v>0</v>
      </c>
    </row>
    <row r="58" spans="1:8" s="143" customFormat="1" ht="12.75" thickBot="1">
      <c r="A58" s="1113" t="s">
        <v>13</v>
      </c>
      <c r="B58" s="1121" t="s">
        <v>302</v>
      </c>
      <c r="C58" s="130">
        <f>+C59+C60+C61+C62+C63</f>
        <v>0</v>
      </c>
      <c r="D58" s="131">
        <f>+D59+D60+D61+D62+D63</f>
        <v>0</v>
      </c>
      <c r="E58" s="132">
        <f>+E59+E60+E61+E62+E63</f>
        <v>0</v>
      </c>
      <c r="F58" s="133">
        <f>+F59+F60+F61+F62+F63</f>
        <v>0</v>
      </c>
      <c r="H58" s="143">
        <f t="shared" si="0"/>
        <v>0</v>
      </c>
    </row>
    <row r="59" spans="1:8">
      <c r="A59" s="1122" t="s">
        <v>66</v>
      </c>
      <c r="B59" s="135" t="s">
        <v>121</v>
      </c>
      <c r="C59" s="136">
        <f>+D59+E59+F59</f>
        <v>0</v>
      </c>
      <c r="D59" s="137"/>
      <c r="E59" s="138"/>
      <c r="F59" s="139"/>
      <c r="H59" s="141">
        <f t="shared" si="0"/>
        <v>0</v>
      </c>
    </row>
    <row r="60" spans="1:8">
      <c r="A60" s="1126" t="s">
        <v>67</v>
      </c>
      <c r="B60" s="1127" t="s">
        <v>122</v>
      </c>
      <c r="C60" s="129">
        <f>+D60+E60+F60</f>
        <v>0</v>
      </c>
      <c r="D60" s="1094"/>
      <c r="E60" s="1095"/>
      <c r="F60" s="1096"/>
      <c r="H60" s="141">
        <f t="shared" si="0"/>
        <v>0</v>
      </c>
    </row>
    <row r="61" spans="1:8">
      <c r="A61" s="1126" t="s">
        <v>68</v>
      </c>
      <c r="B61" s="1127" t="s">
        <v>123</v>
      </c>
      <c r="C61" s="129">
        <f>+D61+E61+F61</f>
        <v>0</v>
      </c>
      <c r="D61" s="1094"/>
      <c r="E61" s="1095"/>
      <c r="F61" s="1096"/>
      <c r="H61" s="141">
        <f t="shared" si="0"/>
        <v>0</v>
      </c>
    </row>
    <row r="62" spans="1:8">
      <c r="A62" s="1126" t="s">
        <v>230</v>
      </c>
      <c r="B62" s="1127" t="s">
        <v>124</v>
      </c>
      <c r="C62" s="129">
        <f>+D62+E62+F62</f>
        <v>0</v>
      </c>
      <c r="D62" s="1094"/>
      <c r="E62" s="1095"/>
      <c r="F62" s="1096"/>
      <c r="H62" s="141">
        <f t="shared" si="0"/>
        <v>0</v>
      </c>
    </row>
    <row r="63" spans="1:8" ht="12.75" thickBot="1">
      <c r="A63" s="1128" t="s">
        <v>231</v>
      </c>
      <c r="B63" s="1129" t="s">
        <v>125</v>
      </c>
      <c r="C63" s="142">
        <f>+D63+E63+F63</f>
        <v>0</v>
      </c>
      <c r="D63" s="1097"/>
      <c r="E63" s="1098"/>
      <c r="F63" s="1099"/>
      <c r="H63" s="141">
        <f t="shared" si="0"/>
        <v>0</v>
      </c>
    </row>
    <row r="64" spans="1:8" s="143" customFormat="1" ht="12.75" thickBot="1">
      <c r="A64" s="1113" t="s">
        <v>12</v>
      </c>
      <c r="B64" s="1121" t="s">
        <v>917</v>
      </c>
      <c r="C64" s="130">
        <f>+C65+C66+C67+C68+C69</f>
        <v>0</v>
      </c>
      <c r="D64" s="131">
        <f>+D65+D66+D67+D68+D69</f>
        <v>0</v>
      </c>
      <c r="E64" s="132">
        <f>+E65+E66+E67+E68+E69</f>
        <v>0</v>
      </c>
      <c r="F64" s="133">
        <f>+F65+F66+F67+F68+F69</f>
        <v>0</v>
      </c>
      <c r="H64" s="143">
        <f t="shared" si="0"/>
        <v>0</v>
      </c>
    </row>
    <row r="65" spans="1:8">
      <c r="A65" s="1122" t="s">
        <v>69</v>
      </c>
      <c r="B65" s="135" t="s">
        <v>126</v>
      </c>
      <c r="C65" s="136">
        <f>+D65+E65+F65</f>
        <v>0</v>
      </c>
      <c r="D65" s="137"/>
      <c r="E65" s="138"/>
      <c r="F65" s="139"/>
      <c r="H65" s="141">
        <f t="shared" si="0"/>
        <v>0</v>
      </c>
    </row>
    <row r="66" spans="1:8">
      <c r="A66" s="1122" t="s">
        <v>70</v>
      </c>
      <c r="B66" s="135" t="s">
        <v>918</v>
      </c>
      <c r="C66" s="136">
        <f>+D66+E66+F66</f>
        <v>0</v>
      </c>
      <c r="D66" s="137"/>
      <c r="E66" s="138"/>
      <c r="F66" s="139"/>
      <c r="H66" s="141">
        <f t="shared" si="0"/>
        <v>0</v>
      </c>
    </row>
    <row r="67" spans="1:8">
      <c r="A67" s="1122" t="s">
        <v>71</v>
      </c>
      <c r="B67" s="135" t="s">
        <v>919</v>
      </c>
      <c r="C67" s="136">
        <f>+D67+E67+F67</f>
        <v>0</v>
      </c>
      <c r="D67" s="137"/>
      <c r="E67" s="138"/>
      <c r="F67" s="139"/>
      <c r="H67" s="141">
        <f t="shared" si="0"/>
        <v>0</v>
      </c>
    </row>
    <row r="68" spans="1:8">
      <c r="A68" s="1126" t="s">
        <v>72</v>
      </c>
      <c r="B68" s="1127" t="s">
        <v>915</v>
      </c>
      <c r="C68" s="129">
        <f>+D68+E68+F68</f>
        <v>0</v>
      </c>
      <c r="D68" s="1094"/>
      <c r="E68" s="1095"/>
      <c r="F68" s="1096"/>
      <c r="H68" s="141">
        <f t="shared" si="0"/>
        <v>0</v>
      </c>
    </row>
    <row r="69" spans="1:8" ht="12.75" thickBot="1">
      <c r="A69" s="1128" t="s">
        <v>914</v>
      </c>
      <c r="B69" s="1129" t="s">
        <v>916</v>
      </c>
      <c r="C69" s="142">
        <f>+D69+E69+F69</f>
        <v>0</v>
      </c>
      <c r="D69" s="1097"/>
      <c r="E69" s="1098"/>
      <c r="F69" s="1099"/>
      <c r="H69" s="141">
        <f t="shared" si="0"/>
        <v>0</v>
      </c>
    </row>
    <row r="70" spans="1:8" s="143" customFormat="1" ht="12.75" thickBot="1">
      <c r="A70" s="1113" t="s">
        <v>11</v>
      </c>
      <c r="B70" s="1136" t="s">
        <v>303</v>
      </c>
      <c r="C70" s="130">
        <f>+C10+C50</f>
        <v>19872</v>
      </c>
      <c r="D70" s="131">
        <f>+D10+D50</f>
        <v>19872</v>
      </c>
      <c r="E70" s="132">
        <f>+E10+E50</f>
        <v>0</v>
      </c>
      <c r="F70" s="133">
        <f>+F10+F50</f>
        <v>0</v>
      </c>
      <c r="H70" s="143">
        <f t="shared" si="0"/>
        <v>0</v>
      </c>
    </row>
    <row r="71" spans="1:8" s="143" customFormat="1" ht="12.75" thickBot="1">
      <c r="A71" s="1113" t="s">
        <v>10</v>
      </c>
      <c r="B71" s="1137" t="s">
        <v>304</v>
      </c>
      <c r="C71" s="130">
        <f>+C72</f>
        <v>379478</v>
      </c>
      <c r="D71" s="131">
        <f>+D72</f>
        <v>379478</v>
      </c>
      <c r="E71" s="132">
        <f>+E72</f>
        <v>0</v>
      </c>
      <c r="F71" s="133">
        <f>+F72</f>
        <v>0</v>
      </c>
      <c r="H71" s="143">
        <f t="shared" si="0"/>
        <v>0</v>
      </c>
    </row>
    <row r="72" spans="1:8" s="143" customFormat="1" ht="12.75" thickBot="1">
      <c r="A72" s="1113" t="s">
        <v>9</v>
      </c>
      <c r="B72" s="1121" t="s">
        <v>926</v>
      </c>
      <c r="C72" s="130">
        <f>+C73+C83+C84+C85</f>
        <v>379478</v>
      </c>
      <c r="D72" s="131">
        <f>+D73+D83+D84+D85</f>
        <v>379478</v>
      </c>
      <c r="E72" s="132">
        <f>+E73+E83+E84+E85</f>
        <v>0</v>
      </c>
      <c r="F72" s="133">
        <f>+F73+F83+F84+F85</f>
        <v>0</v>
      </c>
      <c r="H72" s="143">
        <f t="shared" si="0"/>
        <v>0</v>
      </c>
    </row>
    <row r="73" spans="1:8">
      <c r="A73" s="1122" t="s">
        <v>73</v>
      </c>
      <c r="B73" s="135" t="s">
        <v>921</v>
      </c>
      <c r="C73" s="136">
        <f>+C74+C75+C76+C77+C78+C79+C80+C81+C82</f>
        <v>379478</v>
      </c>
      <c r="D73" s="137">
        <f>+D74+D75+D76+D77+D78+D79+D80+D81+D82</f>
        <v>379478</v>
      </c>
      <c r="E73" s="138">
        <f>+E74+E75+E76+E77+E78+E79+E80+E81+E82</f>
        <v>0</v>
      </c>
      <c r="F73" s="139">
        <f>+F74+F75+F76+F77+F78+F79+F80+F81+F82</f>
        <v>0</v>
      </c>
      <c r="H73" s="141">
        <f t="shared" si="0"/>
        <v>0</v>
      </c>
    </row>
    <row r="74" spans="1:8" s="140" customFormat="1">
      <c r="A74" s="127" t="s">
        <v>196</v>
      </c>
      <c r="B74" s="128" t="s">
        <v>920</v>
      </c>
      <c r="C74" s="134">
        <f t="shared" ref="C74:C84" si="5">+D74+E74+F74</f>
        <v>0</v>
      </c>
      <c r="D74" s="769"/>
      <c r="E74" s="770"/>
      <c r="F74" s="771"/>
      <c r="H74" s="140">
        <f t="shared" si="0"/>
        <v>0</v>
      </c>
    </row>
    <row r="75" spans="1:8" s="140" customFormat="1">
      <c r="A75" s="127" t="s">
        <v>197</v>
      </c>
      <c r="B75" s="128" t="s">
        <v>247</v>
      </c>
      <c r="C75" s="134">
        <f t="shared" si="5"/>
        <v>0</v>
      </c>
      <c r="D75" s="769"/>
      <c r="E75" s="770"/>
      <c r="F75" s="771"/>
      <c r="H75" s="140">
        <f t="shared" ref="H75:H138" si="6">+C75-D75-E75-F75</f>
        <v>0</v>
      </c>
    </row>
    <row r="76" spans="1:8" s="140" customFormat="1">
      <c r="A76" s="127" t="s">
        <v>198</v>
      </c>
      <c r="B76" s="128" t="s">
        <v>248</v>
      </c>
      <c r="C76" s="134">
        <f t="shared" si="5"/>
        <v>0</v>
      </c>
      <c r="D76" s="769"/>
      <c r="E76" s="770"/>
      <c r="F76" s="771"/>
      <c r="H76" s="140">
        <f t="shared" si="6"/>
        <v>0</v>
      </c>
    </row>
    <row r="77" spans="1:8" s="140" customFormat="1">
      <c r="A77" s="127" t="s">
        <v>199</v>
      </c>
      <c r="B77" s="128" t="s">
        <v>249</v>
      </c>
      <c r="C77" s="134">
        <f t="shared" si="5"/>
        <v>0</v>
      </c>
      <c r="D77" s="769"/>
      <c r="E77" s="770"/>
      <c r="F77" s="771"/>
      <c r="H77" s="140">
        <f t="shared" si="6"/>
        <v>0</v>
      </c>
    </row>
    <row r="78" spans="1:8" s="140" customFormat="1">
      <c r="A78" s="127" t="s">
        <v>200</v>
      </c>
      <c r="B78" s="128" t="s">
        <v>250</v>
      </c>
      <c r="C78" s="134">
        <f t="shared" si="5"/>
        <v>0</v>
      </c>
      <c r="D78" s="769"/>
      <c r="E78" s="770"/>
      <c r="F78" s="771"/>
      <c r="H78" s="140">
        <f t="shared" si="6"/>
        <v>0</v>
      </c>
    </row>
    <row r="79" spans="1:8" s="140" customFormat="1">
      <c r="A79" s="127" t="s">
        <v>201</v>
      </c>
      <c r="B79" s="128" t="s">
        <v>251</v>
      </c>
      <c r="C79" s="134">
        <f t="shared" si="5"/>
        <v>379478</v>
      </c>
      <c r="D79" s="769">
        <f>+D109-D10+D178-D74-D75-D76-D77-D78-D80-D81-D83-D84-D85</f>
        <v>379478</v>
      </c>
      <c r="E79" s="770">
        <f>+E109-E10+E178-E74-E75-E76-E77-E78-E80-E81-E83-E84-E85</f>
        <v>0</v>
      </c>
      <c r="F79" s="771">
        <f>+F109-F10+F178-F74-F75-F76-F77-F78-F80-F81-F83-F84-F85</f>
        <v>0</v>
      </c>
      <c r="H79" s="140">
        <f t="shared" si="6"/>
        <v>0</v>
      </c>
    </row>
    <row r="80" spans="1:8" s="140" customFormat="1">
      <c r="A80" s="127" t="s">
        <v>204</v>
      </c>
      <c r="B80" s="128" t="s">
        <v>252</v>
      </c>
      <c r="C80" s="134">
        <f t="shared" si="5"/>
        <v>0</v>
      </c>
      <c r="D80" s="769"/>
      <c r="E80" s="770"/>
      <c r="F80" s="771"/>
      <c r="H80" s="140">
        <f t="shared" si="6"/>
        <v>0</v>
      </c>
    </row>
    <row r="81" spans="1:8" s="140" customFormat="1">
      <c r="A81" s="127" t="s">
        <v>202</v>
      </c>
      <c r="B81" s="128" t="s">
        <v>245</v>
      </c>
      <c r="C81" s="134">
        <f t="shared" si="5"/>
        <v>0</v>
      </c>
      <c r="D81" s="769"/>
      <c r="E81" s="770"/>
      <c r="F81" s="771"/>
      <c r="H81" s="140">
        <f t="shared" si="6"/>
        <v>0</v>
      </c>
    </row>
    <row r="82" spans="1:8" s="140" customFormat="1">
      <c r="A82" s="127" t="s">
        <v>922</v>
      </c>
      <c r="B82" s="128" t="s">
        <v>923</v>
      </c>
      <c r="C82" s="134">
        <f>+D82+E82+F82</f>
        <v>0</v>
      </c>
      <c r="D82" s="769"/>
      <c r="E82" s="770"/>
      <c r="F82" s="771"/>
      <c r="H82" s="140">
        <f t="shared" si="6"/>
        <v>0</v>
      </c>
    </row>
    <row r="83" spans="1:8">
      <c r="A83" s="1126" t="s">
        <v>74</v>
      </c>
      <c r="B83" s="1127" t="s">
        <v>243</v>
      </c>
      <c r="C83" s="129">
        <f t="shared" si="5"/>
        <v>0</v>
      </c>
      <c r="D83" s="1094"/>
      <c r="E83" s="1095"/>
      <c r="F83" s="1096"/>
      <c r="H83" s="141">
        <f t="shared" si="6"/>
        <v>0</v>
      </c>
    </row>
    <row r="84" spans="1:8">
      <c r="A84" s="1128" t="s">
        <v>203</v>
      </c>
      <c r="B84" s="1129" t="s">
        <v>244</v>
      </c>
      <c r="C84" s="142">
        <f t="shared" si="5"/>
        <v>0</v>
      </c>
      <c r="D84" s="1097"/>
      <c r="E84" s="1098"/>
      <c r="F84" s="1099"/>
      <c r="H84" s="141">
        <f t="shared" si="6"/>
        <v>0</v>
      </c>
    </row>
    <row r="85" spans="1:8" ht="12.75" thickBot="1">
      <c r="A85" s="1128" t="s">
        <v>924</v>
      </c>
      <c r="B85" s="1129" t="s">
        <v>925</v>
      </c>
      <c r="C85" s="142">
        <f>+D85+E85+F85</f>
        <v>0</v>
      </c>
      <c r="D85" s="1097"/>
      <c r="E85" s="1098"/>
      <c r="F85" s="1099"/>
      <c r="H85" s="141">
        <f t="shared" si="6"/>
        <v>0</v>
      </c>
    </row>
    <row r="86" spans="1:8" s="143" customFormat="1" ht="12.75" thickBot="1">
      <c r="A86" s="1113" t="s">
        <v>45</v>
      </c>
      <c r="B86" s="1137" t="s">
        <v>305</v>
      </c>
      <c r="C86" s="130">
        <f>+C87</f>
        <v>800</v>
      </c>
      <c r="D86" s="131">
        <f>+D87</f>
        <v>800</v>
      </c>
      <c r="E86" s="132">
        <f>+E87</f>
        <v>0</v>
      </c>
      <c r="F86" s="133">
        <f>+F87</f>
        <v>0</v>
      </c>
      <c r="H86" s="143">
        <f t="shared" si="6"/>
        <v>0</v>
      </c>
    </row>
    <row r="87" spans="1:8" s="143" customFormat="1" ht="12.75" thickBot="1">
      <c r="A87" s="1113" t="s">
        <v>44</v>
      </c>
      <c r="B87" s="1121" t="s">
        <v>928</v>
      </c>
      <c r="C87" s="130">
        <f>+C88+C98+C99+C100</f>
        <v>800</v>
      </c>
      <c r="D87" s="131">
        <f>+D88+D98+D99+D100</f>
        <v>800</v>
      </c>
      <c r="E87" s="132">
        <f>+E88+E98+E99+E100</f>
        <v>0</v>
      </c>
      <c r="F87" s="133">
        <f>+F88+F98+F99+F100</f>
        <v>0</v>
      </c>
      <c r="H87" s="143">
        <f t="shared" si="6"/>
        <v>0</v>
      </c>
    </row>
    <row r="88" spans="1:8">
      <c r="A88" s="1122" t="s">
        <v>232</v>
      </c>
      <c r="B88" s="135" t="s">
        <v>983</v>
      </c>
      <c r="C88" s="136">
        <f>+C89+C90+C91+C92+C93+C94+C95+C96+C97</f>
        <v>800</v>
      </c>
      <c r="D88" s="137">
        <f>+D89+D90+D91+D92+D93+D94+D95+D96+D97</f>
        <v>800</v>
      </c>
      <c r="E88" s="138">
        <f>+E89+E90+E91+E92+E93+E94+E95+E96+E97</f>
        <v>0</v>
      </c>
      <c r="F88" s="139">
        <f>+F89+F90+F91+F92+F93+F94+F95+F96+F97</f>
        <v>0</v>
      </c>
      <c r="H88" s="141">
        <f t="shared" si="6"/>
        <v>0</v>
      </c>
    </row>
    <row r="89" spans="1:8" s="140" customFormat="1">
      <c r="A89" s="127" t="s">
        <v>233</v>
      </c>
      <c r="B89" s="128" t="s">
        <v>920</v>
      </c>
      <c r="C89" s="134">
        <f t="shared" ref="C89:C99" si="7">+D89+E89+F89</f>
        <v>0</v>
      </c>
      <c r="D89" s="769"/>
      <c r="E89" s="770"/>
      <c r="F89" s="771"/>
      <c r="H89" s="140">
        <f t="shared" si="6"/>
        <v>0</v>
      </c>
    </row>
    <row r="90" spans="1:8" s="140" customFormat="1">
      <c r="A90" s="127" t="s">
        <v>234</v>
      </c>
      <c r="B90" s="128" t="s">
        <v>247</v>
      </c>
      <c r="C90" s="134">
        <f t="shared" si="7"/>
        <v>0</v>
      </c>
      <c r="D90" s="769"/>
      <c r="E90" s="770"/>
      <c r="F90" s="771"/>
      <c r="H90" s="140">
        <f t="shared" si="6"/>
        <v>0</v>
      </c>
    </row>
    <row r="91" spans="1:8" s="140" customFormat="1">
      <c r="A91" s="127" t="s">
        <v>235</v>
      </c>
      <c r="B91" s="128" t="s">
        <v>248</v>
      </c>
      <c r="C91" s="134">
        <f t="shared" si="7"/>
        <v>0</v>
      </c>
      <c r="D91" s="769"/>
      <c r="E91" s="770"/>
      <c r="F91" s="771"/>
      <c r="H91" s="140">
        <f t="shared" si="6"/>
        <v>0</v>
      </c>
    </row>
    <row r="92" spans="1:8" s="140" customFormat="1">
      <c r="A92" s="127" t="s">
        <v>236</v>
      </c>
      <c r="B92" s="128" t="s">
        <v>249</v>
      </c>
      <c r="C92" s="134">
        <f t="shared" si="7"/>
        <v>0</v>
      </c>
      <c r="D92" s="769"/>
      <c r="E92" s="770"/>
      <c r="F92" s="771"/>
      <c r="H92" s="140">
        <f t="shared" si="6"/>
        <v>0</v>
      </c>
    </row>
    <row r="93" spans="1:8" s="140" customFormat="1">
      <c r="A93" s="127" t="s">
        <v>237</v>
      </c>
      <c r="B93" s="128" t="s">
        <v>250</v>
      </c>
      <c r="C93" s="134">
        <f t="shared" si="7"/>
        <v>0</v>
      </c>
      <c r="D93" s="769"/>
      <c r="E93" s="770"/>
      <c r="F93" s="771"/>
      <c r="H93" s="140">
        <f t="shared" si="6"/>
        <v>0</v>
      </c>
    </row>
    <row r="94" spans="1:8" s="140" customFormat="1">
      <c r="A94" s="127" t="s">
        <v>238</v>
      </c>
      <c r="B94" s="128" t="s">
        <v>251</v>
      </c>
      <c r="C94" s="134">
        <f t="shared" si="7"/>
        <v>800</v>
      </c>
      <c r="D94" s="769">
        <f>+D149-D50+D192-D89-D90-D91-D92-D93-D95-D96-D98-D99-D100</f>
        <v>800</v>
      </c>
      <c r="E94" s="770">
        <f>+E149-E50+E192-E89-E90-E91-E92-E93-E95-E96-E98-E99-E100</f>
        <v>0</v>
      </c>
      <c r="F94" s="771">
        <f>+F149-F50+F192-F89-F90-F91-F92-F93-F95-F96-F98-F99-F100</f>
        <v>0</v>
      </c>
      <c r="H94" s="140">
        <f t="shared" si="6"/>
        <v>0</v>
      </c>
    </row>
    <row r="95" spans="1:8" s="140" customFormat="1">
      <c r="A95" s="127" t="s">
        <v>239</v>
      </c>
      <c r="B95" s="128" t="s">
        <v>252</v>
      </c>
      <c r="C95" s="134">
        <f t="shared" si="7"/>
        <v>0</v>
      </c>
      <c r="D95" s="769"/>
      <c r="E95" s="770"/>
      <c r="F95" s="771"/>
      <c r="H95" s="140">
        <f t="shared" si="6"/>
        <v>0</v>
      </c>
    </row>
    <row r="96" spans="1:8" s="140" customFormat="1">
      <c r="A96" s="127" t="s">
        <v>240</v>
      </c>
      <c r="B96" s="128" t="s">
        <v>245</v>
      </c>
      <c r="C96" s="134">
        <f t="shared" si="7"/>
        <v>0</v>
      </c>
      <c r="D96" s="769"/>
      <c r="E96" s="770"/>
      <c r="F96" s="771"/>
      <c r="H96" s="140">
        <f t="shared" si="6"/>
        <v>0</v>
      </c>
    </row>
    <row r="97" spans="1:8" s="140" customFormat="1">
      <c r="A97" s="127" t="s">
        <v>927</v>
      </c>
      <c r="B97" s="128" t="s">
        <v>923</v>
      </c>
      <c r="C97" s="134">
        <f>+D97+E97+F97</f>
        <v>0</v>
      </c>
      <c r="D97" s="769"/>
      <c r="E97" s="770"/>
      <c r="F97" s="771"/>
      <c r="H97" s="140">
        <f t="shared" si="6"/>
        <v>0</v>
      </c>
    </row>
    <row r="98" spans="1:8">
      <c r="A98" s="1126" t="s">
        <v>241</v>
      </c>
      <c r="B98" s="1127" t="s">
        <v>243</v>
      </c>
      <c r="C98" s="129">
        <f t="shared" si="7"/>
        <v>0</v>
      </c>
      <c r="D98" s="1094"/>
      <c r="E98" s="1095"/>
      <c r="F98" s="1096"/>
      <c r="H98" s="141">
        <f t="shared" si="6"/>
        <v>0</v>
      </c>
    </row>
    <row r="99" spans="1:8">
      <c r="A99" s="1128" t="s">
        <v>242</v>
      </c>
      <c r="B99" s="1129" t="s">
        <v>244</v>
      </c>
      <c r="C99" s="142">
        <f t="shared" si="7"/>
        <v>0</v>
      </c>
      <c r="D99" s="1097"/>
      <c r="E99" s="1098"/>
      <c r="F99" s="1099"/>
      <c r="H99" s="141">
        <f t="shared" si="6"/>
        <v>0</v>
      </c>
    </row>
    <row r="100" spans="1:8" ht="12.75" thickBot="1">
      <c r="A100" s="1128" t="s">
        <v>929</v>
      </c>
      <c r="B100" s="1129" t="s">
        <v>925</v>
      </c>
      <c r="C100" s="142">
        <f>+D100+E100+F100</f>
        <v>0</v>
      </c>
      <c r="D100" s="1097"/>
      <c r="E100" s="1098"/>
      <c r="F100" s="1099"/>
      <c r="H100" s="141">
        <f t="shared" si="6"/>
        <v>0</v>
      </c>
    </row>
    <row r="101" spans="1:8" s="143" customFormat="1" ht="12.75" thickBot="1">
      <c r="A101" s="1113" t="s">
        <v>43</v>
      </c>
      <c r="B101" s="1136" t="s">
        <v>306</v>
      </c>
      <c r="C101" s="130">
        <f>+C71+C86</f>
        <v>380278</v>
      </c>
      <c r="D101" s="131">
        <f>+D71+D86</f>
        <v>380278</v>
      </c>
      <c r="E101" s="132">
        <f>+E71+E86</f>
        <v>0</v>
      </c>
      <c r="F101" s="133">
        <f>+F71+F86</f>
        <v>0</v>
      </c>
      <c r="H101" s="143">
        <f t="shared" si="6"/>
        <v>0</v>
      </c>
    </row>
    <row r="102" spans="1:8" s="143" customFormat="1" ht="12.75" thickBot="1">
      <c r="A102" s="1138" t="s">
        <v>40</v>
      </c>
      <c r="B102" s="1139" t="s">
        <v>307</v>
      </c>
      <c r="C102" s="1140">
        <f>+C70+C101</f>
        <v>400150</v>
      </c>
      <c r="D102" s="1141">
        <f>+D70+D101</f>
        <v>400150</v>
      </c>
      <c r="E102" s="1142">
        <f>+E70+E101</f>
        <v>0</v>
      </c>
      <c r="F102" s="1143">
        <f>+F70+F101</f>
        <v>0</v>
      </c>
      <c r="H102" s="143">
        <f t="shared" si="6"/>
        <v>0</v>
      </c>
    </row>
    <row r="103" spans="1:8" s="143" customFormat="1">
      <c r="A103" s="1144"/>
      <c r="B103" s="1145"/>
      <c r="C103" s="1145"/>
      <c r="D103" s="1145"/>
      <c r="E103" s="1145"/>
      <c r="F103" s="1145"/>
    </row>
    <row r="104" spans="1:8" s="143" customFormat="1">
      <c r="A104" s="1144"/>
      <c r="B104" s="1145"/>
      <c r="C104" s="1145"/>
      <c r="D104" s="1145"/>
      <c r="E104" s="1145"/>
      <c r="F104" s="1145"/>
    </row>
    <row r="105" spans="1:8" s="1102" customFormat="1" ht="15.75">
      <c r="A105" s="1441" t="s">
        <v>80</v>
      </c>
      <c r="B105" s="1441"/>
      <c r="C105" s="1441"/>
      <c r="D105" s="1441"/>
      <c r="E105" s="1441"/>
      <c r="F105" s="1441"/>
    </row>
    <row r="106" spans="1:8" s="1104" customFormat="1" ht="12.75" thickBot="1">
      <c r="A106" s="1103" t="s">
        <v>279</v>
      </c>
      <c r="F106" s="1105" t="s">
        <v>281</v>
      </c>
    </row>
    <row r="107" spans="1:8" s="143" customFormat="1" ht="48.75" thickBot="1">
      <c r="A107" s="1106" t="s">
        <v>17</v>
      </c>
      <c r="B107" s="1146" t="s">
        <v>329</v>
      </c>
      <c r="C107" s="1147" t="s">
        <v>1317</v>
      </c>
      <c r="D107" s="1109" t="s">
        <v>51</v>
      </c>
      <c r="E107" s="1110" t="s">
        <v>52</v>
      </c>
      <c r="F107" s="1111" t="s">
        <v>53</v>
      </c>
    </row>
    <row r="108" spans="1:8" s="143" customFormat="1" ht="12.75" thickBot="1">
      <c r="A108" s="1148" t="s">
        <v>253</v>
      </c>
      <c r="B108" s="1149" t="s">
        <v>254</v>
      </c>
      <c r="C108" s="1448" t="s">
        <v>255</v>
      </c>
      <c r="D108" s="1449"/>
      <c r="E108" s="1449"/>
      <c r="F108" s="1450"/>
    </row>
    <row r="109" spans="1:8" s="143" customFormat="1" ht="12.75" thickBot="1">
      <c r="A109" s="1113" t="s">
        <v>4</v>
      </c>
      <c r="B109" s="1136" t="s">
        <v>308</v>
      </c>
      <c r="C109" s="130">
        <f>+C110+C114+C116+C123+C132</f>
        <v>399350</v>
      </c>
      <c r="D109" s="131">
        <f>+D110+D114+D116+D123+D132</f>
        <v>399350</v>
      </c>
      <c r="E109" s="132">
        <f>+E110+E114+E116+E123+E132</f>
        <v>0</v>
      </c>
      <c r="F109" s="133">
        <f>+F110+F114+F116+F123+F132</f>
        <v>0</v>
      </c>
      <c r="H109" s="143">
        <f t="shared" si="6"/>
        <v>0</v>
      </c>
    </row>
    <row r="110" spans="1:8" s="143" customFormat="1" ht="12.75" thickBot="1">
      <c r="A110" s="1113" t="s">
        <v>5</v>
      </c>
      <c r="B110" s="1121" t="s">
        <v>309</v>
      </c>
      <c r="C110" s="130">
        <f>+C112+C113</f>
        <v>235721</v>
      </c>
      <c r="D110" s="131">
        <f>+D112+D113</f>
        <v>235721</v>
      </c>
      <c r="E110" s="132">
        <f>+E112+E113</f>
        <v>0</v>
      </c>
      <c r="F110" s="133">
        <f>+F112+F113</f>
        <v>0</v>
      </c>
      <c r="H110" s="143">
        <f t="shared" si="6"/>
        <v>0</v>
      </c>
    </row>
    <row r="111" spans="1:8" s="1104" customFormat="1">
      <c r="A111" s="1150" t="s">
        <v>349</v>
      </c>
      <c r="B111" s="1151" t="s">
        <v>350</v>
      </c>
      <c r="C111" s="1152">
        <f>+D111+E111+F111</f>
        <v>0</v>
      </c>
      <c r="D111" s="1153"/>
      <c r="E111" s="1154"/>
      <c r="F111" s="1155"/>
      <c r="H111" s="1104">
        <f t="shared" si="6"/>
        <v>0</v>
      </c>
    </row>
    <row r="112" spans="1:8">
      <c r="A112" s="1122" t="s">
        <v>54</v>
      </c>
      <c r="B112" s="135" t="s">
        <v>127</v>
      </c>
      <c r="C112" s="136">
        <f>+D112+E112+F112</f>
        <v>235621</v>
      </c>
      <c r="D112" s="137">
        <v>235621</v>
      </c>
      <c r="E112" s="138"/>
      <c r="F112" s="139"/>
      <c r="H112" s="141">
        <f t="shared" si="6"/>
        <v>0</v>
      </c>
    </row>
    <row r="113" spans="1:8" ht="12.75" thickBot="1">
      <c r="A113" s="1128" t="s">
        <v>55</v>
      </c>
      <c r="B113" s="1129" t="s">
        <v>128</v>
      </c>
      <c r="C113" s="142">
        <f>+D113+E113+F113</f>
        <v>100</v>
      </c>
      <c r="D113" s="1097">
        <v>100</v>
      </c>
      <c r="E113" s="1098"/>
      <c r="F113" s="1099"/>
      <c r="H113" s="141">
        <f t="shared" si="6"/>
        <v>0</v>
      </c>
    </row>
    <row r="114" spans="1:8" s="143" customFormat="1" ht="12.75" thickBot="1">
      <c r="A114" s="1113" t="s">
        <v>6</v>
      </c>
      <c r="B114" s="1121" t="s">
        <v>256</v>
      </c>
      <c r="C114" s="130">
        <f>+D114+E114+F114</f>
        <v>51022</v>
      </c>
      <c r="D114" s="131">
        <v>51022</v>
      </c>
      <c r="E114" s="132"/>
      <c r="F114" s="133"/>
      <c r="H114" s="143">
        <f>+C114-D114-E114-F114</f>
        <v>0</v>
      </c>
    </row>
    <row r="115" spans="1:8" s="1104" customFormat="1" ht="12.75" thickBot="1">
      <c r="A115" s="1150" t="s">
        <v>346</v>
      </c>
      <c r="B115" s="1151" t="s">
        <v>347</v>
      </c>
      <c r="C115" s="1152">
        <f>+D115+E115+F115</f>
        <v>0</v>
      </c>
      <c r="D115" s="1153"/>
      <c r="E115" s="1154"/>
      <c r="F115" s="1155"/>
      <c r="H115" s="1104">
        <f t="shared" si="6"/>
        <v>0</v>
      </c>
    </row>
    <row r="116" spans="1:8" s="143" customFormat="1" ht="12.75" thickBot="1">
      <c r="A116" s="1113" t="s">
        <v>3</v>
      </c>
      <c r="B116" s="1121" t="s">
        <v>343</v>
      </c>
      <c r="C116" s="130">
        <f>+C118+C119+C120+C121+C122</f>
        <v>112607</v>
      </c>
      <c r="D116" s="131">
        <f>+D118+D119+D120+D121+D122</f>
        <v>112607</v>
      </c>
      <c r="E116" s="132">
        <f>+E118+E119+E120+E121+E122</f>
        <v>0</v>
      </c>
      <c r="F116" s="133">
        <f>+F118+F119+F120+F121+F122</f>
        <v>0</v>
      </c>
      <c r="H116" s="143">
        <f t="shared" si="6"/>
        <v>0</v>
      </c>
    </row>
    <row r="117" spans="1:8" s="1104" customFormat="1">
      <c r="A117" s="1150" t="s">
        <v>341</v>
      </c>
      <c r="B117" s="1151" t="s">
        <v>348</v>
      </c>
      <c r="C117" s="1152">
        <f t="shared" ref="C117:C122" si="8">+D117+E117+F117</f>
        <v>0</v>
      </c>
      <c r="D117" s="1153"/>
      <c r="E117" s="1154"/>
      <c r="F117" s="1155"/>
      <c r="H117" s="1104">
        <f t="shared" si="6"/>
        <v>0</v>
      </c>
    </row>
    <row r="118" spans="1:8">
      <c r="A118" s="1122" t="s">
        <v>61</v>
      </c>
      <c r="B118" s="135" t="s">
        <v>129</v>
      </c>
      <c r="C118" s="136">
        <f t="shared" si="8"/>
        <v>5466</v>
      </c>
      <c r="D118" s="137">
        <v>5466</v>
      </c>
      <c r="E118" s="138"/>
      <c r="F118" s="139"/>
      <c r="H118" s="141">
        <f t="shared" si="6"/>
        <v>0</v>
      </c>
    </row>
    <row r="119" spans="1:8">
      <c r="A119" s="1126" t="s">
        <v>62</v>
      </c>
      <c r="B119" s="1127" t="s">
        <v>130</v>
      </c>
      <c r="C119" s="129">
        <f t="shared" si="8"/>
        <v>2223</v>
      </c>
      <c r="D119" s="1094">
        <v>2223</v>
      </c>
      <c r="E119" s="1095"/>
      <c r="F119" s="1096"/>
      <c r="H119" s="141">
        <f t="shared" si="6"/>
        <v>0</v>
      </c>
    </row>
    <row r="120" spans="1:8">
      <c r="A120" s="1126" t="s">
        <v>63</v>
      </c>
      <c r="B120" s="1127" t="s">
        <v>131</v>
      </c>
      <c r="C120" s="129">
        <f t="shared" si="8"/>
        <v>82117</v>
      </c>
      <c r="D120" s="1094">
        <v>82117</v>
      </c>
      <c r="E120" s="1095"/>
      <c r="F120" s="1096"/>
      <c r="H120" s="141">
        <f t="shared" si="6"/>
        <v>0</v>
      </c>
    </row>
    <row r="121" spans="1:8">
      <c r="A121" s="1126" t="s">
        <v>64</v>
      </c>
      <c r="B121" s="1127" t="s">
        <v>132</v>
      </c>
      <c r="C121" s="129">
        <f t="shared" si="8"/>
        <v>0</v>
      </c>
      <c r="D121" s="1094"/>
      <c r="E121" s="1095"/>
      <c r="F121" s="1096"/>
      <c r="H121" s="141">
        <f t="shared" si="6"/>
        <v>0</v>
      </c>
    </row>
    <row r="122" spans="1:8" ht="12.75" thickBot="1">
      <c r="A122" s="1128" t="s">
        <v>65</v>
      </c>
      <c r="B122" s="1129" t="s">
        <v>133</v>
      </c>
      <c r="C122" s="142">
        <f t="shared" si="8"/>
        <v>22801</v>
      </c>
      <c r="D122" s="1097">
        <v>22801</v>
      </c>
      <c r="E122" s="1098"/>
      <c r="F122" s="1099"/>
      <c r="H122" s="141">
        <f t="shared" si="6"/>
        <v>0</v>
      </c>
    </row>
    <row r="123" spans="1:8" s="143" customFormat="1" ht="12.75" thickBot="1">
      <c r="A123" s="1113" t="s">
        <v>16</v>
      </c>
      <c r="B123" s="1121" t="s">
        <v>310</v>
      </c>
      <c r="C123" s="130">
        <f>+C124+C125+C126+C127+C128+C129+C130+C131</f>
        <v>0</v>
      </c>
      <c r="D123" s="131">
        <f>+D124+D125+D126+D127+D128+D129+D130+D131</f>
        <v>0</v>
      </c>
      <c r="E123" s="132">
        <f>+E124+E125+E126+E127+E128+E129+E130+E131</f>
        <v>0</v>
      </c>
      <c r="F123" s="133">
        <f>+F124+F125+F126+F127+F128+F129+F130+F131</f>
        <v>0</v>
      </c>
      <c r="H123" s="143">
        <f t="shared" si="6"/>
        <v>0</v>
      </c>
    </row>
    <row r="124" spans="1:8">
      <c r="A124" s="1122" t="s">
        <v>227</v>
      </c>
      <c r="B124" s="135" t="s">
        <v>134</v>
      </c>
      <c r="C124" s="136">
        <f t="shared" ref="C124:C131" si="9">+D124+E124+F124</f>
        <v>0</v>
      </c>
      <c r="D124" s="137"/>
      <c r="E124" s="138"/>
      <c r="F124" s="139"/>
      <c r="H124" s="141">
        <f t="shared" si="6"/>
        <v>0</v>
      </c>
    </row>
    <row r="125" spans="1:8">
      <c r="A125" s="1126" t="s">
        <v>228</v>
      </c>
      <c r="B125" s="1127" t="s">
        <v>135</v>
      </c>
      <c r="C125" s="129">
        <f t="shared" si="9"/>
        <v>0</v>
      </c>
      <c r="D125" s="1094"/>
      <c r="E125" s="1095"/>
      <c r="F125" s="1096"/>
      <c r="H125" s="141">
        <f t="shared" si="6"/>
        <v>0</v>
      </c>
    </row>
    <row r="126" spans="1:8">
      <c r="A126" s="1126" t="s">
        <v>229</v>
      </c>
      <c r="B126" s="1127" t="s">
        <v>136</v>
      </c>
      <c r="C126" s="129">
        <f t="shared" si="9"/>
        <v>0</v>
      </c>
      <c r="D126" s="1094"/>
      <c r="E126" s="1095"/>
      <c r="F126" s="1096"/>
      <c r="H126" s="141">
        <f t="shared" si="6"/>
        <v>0</v>
      </c>
    </row>
    <row r="127" spans="1:8">
      <c r="A127" s="1126" t="s">
        <v>257</v>
      </c>
      <c r="B127" s="1127" t="s">
        <v>137</v>
      </c>
      <c r="C127" s="129">
        <f t="shared" si="9"/>
        <v>0</v>
      </c>
      <c r="D127" s="1094"/>
      <c r="E127" s="1095"/>
      <c r="F127" s="1096"/>
      <c r="H127" s="141">
        <f t="shared" si="6"/>
        <v>0</v>
      </c>
    </row>
    <row r="128" spans="1:8">
      <c r="A128" s="1126" t="s">
        <v>258</v>
      </c>
      <c r="B128" s="1127" t="s">
        <v>138</v>
      </c>
      <c r="C128" s="129">
        <f t="shared" si="9"/>
        <v>0</v>
      </c>
      <c r="D128" s="1094"/>
      <c r="E128" s="1095"/>
      <c r="F128" s="1096"/>
      <c r="H128" s="141">
        <f t="shared" si="6"/>
        <v>0</v>
      </c>
    </row>
    <row r="129" spans="1:8">
      <c r="A129" s="1126" t="s">
        <v>259</v>
      </c>
      <c r="B129" s="1127" t="s">
        <v>139</v>
      </c>
      <c r="C129" s="129">
        <f t="shared" si="9"/>
        <v>0</v>
      </c>
      <c r="D129" s="1094"/>
      <c r="E129" s="1095"/>
      <c r="F129" s="1096"/>
      <c r="H129" s="141">
        <f t="shared" si="6"/>
        <v>0</v>
      </c>
    </row>
    <row r="130" spans="1:8">
      <c r="A130" s="1126" t="s">
        <v>260</v>
      </c>
      <c r="B130" s="1127" t="s">
        <v>140</v>
      </c>
      <c r="C130" s="129">
        <f t="shared" si="9"/>
        <v>0</v>
      </c>
      <c r="D130" s="1094"/>
      <c r="E130" s="1095"/>
      <c r="F130" s="1096"/>
      <c r="H130" s="141">
        <f t="shared" si="6"/>
        <v>0</v>
      </c>
    </row>
    <row r="131" spans="1:8" ht="12.75" thickBot="1">
      <c r="A131" s="1128" t="s">
        <v>261</v>
      </c>
      <c r="B131" s="1129" t="s">
        <v>141</v>
      </c>
      <c r="C131" s="142">
        <f t="shared" si="9"/>
        <v>0</v>
      </c>
      <c r="D131" s="1097"/>
      <c r="E131" s="1098"/>
      <c r="F131" s="1099"/>
      <c r="H131" s="141">
        <f t="shared" si="6"/>
        <v>0</v>
      </c>
    </row>
    <row r="132" spans="1:8" s="143" customFormat="1" ht="12.75" thickBot="1">
      <c r="A132" s="1113" t="s">
        <v>15</v>
      </c>
      <c r="B132" s="1121" t="s">
        <v>933</v>
      </c>
      <c r="C132" s="130">
        <f>+C133+C134+C135+C136+C137+C138+C140+C141+C142+C143+C144+C145+C146</f>
        <v>0</v>
      </c>
      <c r="D132" s="131">
        <f>+D133+D134+D135+D136+D137+D138+D140+D141+D142+D143+D144+D145+D146</f>
        <v>0</v>
      </c>
      <c r="E132" s="132">
        <f>+E133+E134+E135+E136+E137+E138+E140+E141+E142+E143+E144+E145+E146</f>
        <v>0</v>
      </c>
      <c r="F132" s="133">
        <f>+F133+F134+F135+F136+F137+F138+F140+F141+F142+F143+F144+F145+F146</f>
        <v>0</v>
      </c>
      <c r="H132" s="143">
        <f t="shared" si="6"/>
        <v>0</v>
      </c>
    </row>
    <row r="133" spans="1:8">
      <c r="A133" s="1122" t="s">
        <v>87</v>
      </c>
      <c r="B133" s="135" t="s">
        <v>142</v>
      </c>
      <c r="C133" s="136">
        <f t="shared" ref="C133:C145" si="10">+D133+E133+F133</f>
        <v>0</v>
      </c>
      <c r="D133" s="137"/>
      <c r="E133" s="138"/>
      <c r="F133" s="139"/>
      <c r="H133" s="141">
        <f t="shared" si="6"/>
        <v>0</v>
      </c>
    </row>
    <row r="134" spans="1:8">
      <c r="A134" s="1126" t="s">
        <v>88</v>
      </c>
      <c r="B134" s="1127" t="s">
        <v>143</v>
      </c>
      <c r="C134" s="129">
        <f t="shared" si="10"/>
        <v>0</v>
      </c>
      <c r="D134" s="1094"/>
      <c r="E134" s="1095"/>
      <c r="F134" s="1096"/>
      <c r="H134" s="141">
        <f t="shared" si="6"/>
        <v>0</v>
      </c>
    </row>
    <row r="135" spans="1:8">
      <c r="A135" s="1126" t="s">
        <v>182</v>
      </c>
      <c r="B135" s="1127" t="s">
        <v>144</v>
      </c>
      <c r="C135" s="129">
        <f t="shared" si="10"/>
        <v>0</v>
      </c>
      <c r="D135" s="1094"/>
      <c r="E135" s="1095"/>
      <c r="F135" s="1096"/>
      <c r="H135" s="141">
        <f t="shared" si="6"/>
        <v>0</v>
      </c>
    </row>
    <row r="136" spans="1:8">
      <c r="A136" s="1126" t="s">
        <v>183</v>
      </c>
      <c r="B136" s="1127" t="s">
        <v>145</v>
      </c>
      <c r="C136" s="129">
        <f t="shared" si="10"/>
        <v>0</v>
      </c>
      <c r="D136" s="1094"/>
      <c r="E136" s="1095"/>
      <c r="F136" s="1096"/>
      <c r="H136" s="141">
        <f t="shared" si="6"/>
        <v>0</v>
      </c>
    </row>
    <row r="137" spans="1:8">
      <c r="A137" s="1126" t="s">
        <v>184</v>
      </c>
      <c r="B137" s="1127" t="s">
        <v>146</v>
      </c>
      <c r="C137" s="129">
        <f t="shared" si="10"/>
        <v>0</v>
      </c>
      <c r="D137" s="1094"/>
      <c r="E137" s="1095"/>
      <c r="F137" s="1096"/>
      <c r="H137" s="141">
        <f t="shared" si="6"/>
        <v>0</v>
      </c>
    </row>
    <row r="138" spans="1:8">
      <c r="A138" s="1126" t="s">
        <v>262</v>
      </c>
      <c r="B138" s="1127" t="s">
        <v>147</v>
      </c>
      <c r="C138" s="129">
        <f t="shared" si="10"/>
        <v>0</v>
      </c>
      <c r="D138" s="1094"/>
      <c r="E138" s="1095"/>
      <c r="F138" s="1096"/>
      <c r="H138" s="141">
        <f t="shared" si="6"/>
        <v>0</v>
      </c>
    </row>
    <row r="139" spans="1:8" s="140" customFormat="1">
      <c r="A139" s="1130" t="s">
        <v>336</v>
      </c>
      <c r="B139" s="1131" t="s">
        <v>939</v>
      </c>
      <c r="C139" s="1132">
        <f t="shared" si="10"/>
        <v>0</v>
      </c>
      <c r="D139" s="1133"/>
      <c r="E139" s="1134"/>
      <c r="F139" s="1135"/>
      <c r="H139" s="140">
        <f t="shared" ref="H139:H202" si="11">+C139-D139-E139-F139</f>
        <v>0</v>
      </c>
    </row>
    <row r="140" spans="1:8">
      <c r="A140" s="1126" t="s">
        <v>263</v>
      </c>
      <c r="B140" s="1127" t="s">
        <v>148</v>
      </c>
      <c r="C140" s="129">
        <f t="shared" si="10"/>
        <v>0</v>
      </c>
      <c r="D140" s="1094"/>
      <c r="E140" s="1095"/>
      <c r="F140" s="1096"/>
      <c r="H140" s="141">
        <f t="shared" si="11"/>
        <v>0</v>
      </c>
    </row>
    <row r="141" spans="1:8">
      <c r="A141" s="1126" t="s">
        <v>264</v>
      </c>
      <c r="B141" s="1127" t="s">
        <v>149</v>
      </c>
      <c r="C141" s="129">
        <f t="shared" si="10"/>
        <v>0</v>
      </c>
      <c r="D141" s="1094"/>
      <c r="E141" s="1095"/>
      <c r="F141" s="1096"/>
      <c r="H141" s="141">
        <f t="shared" si="11"/>
        <v>0</v>
      </c>
    </row>
    <row r="142" spans="1:8">
      <c r="A142" s="1126" t="s">
        <v>265</v>
      </c>
      <c r="B142" s="1127" t="s">
        <v>150</v>
      </c>
      <c r="C142" s="129">
        <f t="shared" si="10"/>
        <v>0</v>
      </c>
      <c r="D142" s="1094"/>
      <c r="E142" s="1095"/>
      <c r="F142" s="1096"/>
      <c r="H142" s="141">
        <f t="shared" si="11"/>
        <v>0</v>
      </c>
    </row>
    <row r="143" spans="1:8">
      <c r="A143" s="1126" t="s">
        <v>266</v>
      </c>
      <c r="B143" s="1127" t="s">
        <v>151</v>
      </c>
      <c r="C143" s="129">
        <f t="shared" si="10"/>
        <v>0</v>
      </c>
      <c r="D143" s="1094"/>
      <c r="E143" s="1095"/>
      <c r="F143" s="1096"/>
      <c r="H143" s="141">
        <f t="shared" si="11"/>
        <v>0</v>
      </c>
    </row>
    <row r="144" spans="1:8">
      <c r="A144" s="1126" t="s">
        <v>267</v>
      </c>
      <c r="B144" s="1127" t="s">
        <v>934</v>
      </c>
      <c r="C144" s="129">
        <f>+D144+E144+F144</f>
        <v>0</v>
      </c>
      <c r="D144" s="1094"/>
      <c r="E144" s="1095"/>
      <c r="F144" s="1096"/>
      <c r="H144" s="141">
        <f t="shared" si="11"/>
        <v>0</v>
      </c>
    </row>
    <row r="145" spans="1:8">
      <c r="A145" s="1126" t="s">
        <v>268</v>
      </c>
      <c r="B145" s="1127" t="s">
        <v>935</v>
      </c>
      <c r="C145" s="129">
        <f t="shared" si="10"/>
        <v>0</v>
      </c>
      <c r="D145" s="1094"/>
      <c r="E145" s="1095"/>
      <c r="F145" s="1096"/>
      <c r="H145" s="141">
        <f t="shared" si="11"/>
        <v>0</v>
      </c>
    </row>
    <row r="146" spans="1:8">
      <c r="A146" s="1128" t="s">
        <v>930</v>
      </c>
      <c r="B146" s="1129" t="s">
        <v>936</v>
      </c>
      <c r="C146" s="142">
        <f>+C147+C148</f>
        <v>0</v>
      </c>
      <c r="D146" s="1097">
        <f>+D147+D148</f>
        <v>0</v>
      </c>
      <c r="E146" s="1098">
        <f>+E147+E148</f>
        <v>0</v>
      </c>
      <c r="F146" s="1099">
        <f>+F147+F148</f>
        <v>0</v>
      </c>
      <c r="H146" s="141">
        <f t="shared" si="11"/>
        <v>0</v>
      </c>
    </row>
    <row r="147" spans="1:8" s="140" customFormat="1">
      <c r="A147" s="1130" t="s">
        <v>931</v>
      </c>
      <c r="B147" s="1156" t="s">
        <v>937</v>
      </c>
      <c r="C147" s="1132">
        <f>+D147+E147+F147</f>
        <v>0</v>
      </c>
      <c r="D147" s="1133"/>
      <c r="E147" s="1134"/>
      <c r="F147" s="1135"/>
      <c r="H147" s="140">
        <f t="shared" si="11"/>
        <v>0</v>
      </c>
    </row>
    <row r="148" spans="1:8" s="140" customFormat="1" ht="12.75" thickBot="1">
      <c r="A148" s="1130" t="s">
        <v>932</v>
      </c>
      <c r="B148" s="1156" t="s">
        <v>938</v>
      </c>
      <c r="C148" s="1132">
        <f>+D148+E148+F148</f>
        <v>0</v>
      </c>
      <c r="D148" s="1133"/>
      <c r="E148" s="1134"/>
      <c r="F148" s="1135"/>
      <c r="H148" s="140">
        <f t="shared" si="11"/>
        <v>0</v>
      </c>
    </row>
    <row r="149" spans="1:8" s="143" customFormat="1" ht="12.75" thickBot="1">
      <c r="A149" s="1113" t="s">
        <v>14</v>
      </c>
      <c r="B149" s="1136" t="s">
        <v>311</v>
      </c>
      <c r="C149" s="130">
        <f>+C150+C159+C165</f>
        <v>800</v>
      </c>
      <c r="D149" s="131">
        <f>+D150+D159+D165</f>
        <v>800</v>
      </c>
      <c r="E149" s="132">
        <f>+E150+E159+E165</f>
        <v>0</v>
      </c>
      <c r="F149" s="133">
        <f>+F150+F159+F165</f>
        <v>0</v>
      </c>
      <c r="H149" s="143">
        <f t="shared" si="11"/>
        <v>0</v>
      </c>
    </row>
    <row r="150" spans="1:8" s="143" customFormat="1" ht="12.75" thickBot="1">
      <c r="A150" s="1113" t="s">
        <v>13</v>
      </c>
      <c r="B150" s="1121" t="s">
        <v>312</v>
      </c>
      <c r="C150" s="130">
        <f>+C152+C153+C154+C155+C156+C157+C158</f>
        <v>800</v>
      </c>
      <c r="D150" s="131">
        <f>+D152+D153+D154+D155+D156+D157+D158</f>
        <v>800</v>
      </c>
      <c r="E150" s="132">
        <f>+E152+E153+E154+E155+E156+E157+E158</f>
        <v>0</v>
      </c>
      <c r="F150" s="133">
        <f>+F152+F153+F154+F155+F156+F157+F158</f>
        <v>0</v>
      </c>
      <c r="H150" s="143">
        <f t="shared" si="11"/>
        <v>0</v>
      </c>
    </row>
    <row r="151" spans="1:8" s="1104" customFormat="1">
      <c r="A151" s="1150" t="s">
        <v>940</v>
      </c>
      <c r="B151" s="1151" t="s">
        <v>342</v>
      </c>
      <c r="C151" s="1152">
        <f t="shared" ref="C151:C158" si="12">+D151+E151+F151</f>
        <v>0</v>
      </c>
      <c r="D151" s="1153"/>
      <c r="E151" s="1154"/>
      <c r="F151" s="1155"/>
      <c r="H151" s="1104">
        <f t="shared" si="11"/>
        <v>0</v>
      </c>
    </row>
    <row r="152" spans="1:8">
      <c r="A152" s="1122" t="s">
        <v>66</v>
      </c>
      <c r="B152" s="135" t="s">
        <v>152</v>
      </c>
      <c r="C152" s="136">
        <f t="shared" si="12"/>
        <v>0</v>
      </c>
      <c r="D152" s="137"/>
      <c r="E152" s="138"/>
      <c r="F152" s="139"/>
      <c r="H152" s="141">
        <f t="shared" si="11"/>
        <v>0</v>
      </c>
    </row>
    <row r="153" spans="1:8">
      <c r="A153" s="1126" t="s">
        <v>67</v>
      </c>
      <c r="B153" s="1127" t="s">
        <v>153</v>
      </c>
      <c r="C153" s="129">
        <f t="shared" si="12"/>
        <v>0</v>
      </c>
      <c r="D153" s="1094"/>
      <c r="E153" s="1095"/>
      <c r="F153" s="1096"/>
      <c r="H153" s="141">
        <f t="shared" si="11"/>
        <v>0</v>
      </c>
    </row>
    <row r="154" spans="1:8">
      <c r="A154" s="1126" t="s">
        <v>68</v>
      </c>
      <c r="B154" s="1127" t="s">
        <v>154</v>
      </c>
      <c r="C154" s="129">
        <f t="shared" si="12"/>
        <v>0</v>
      </c>
      <c r="D154" s="1094"/>
      <c r="E154" s="1095"/>
      <c r="F154" s="1096"/>
      <c r="H154" s="141">
        <f t="shared" si="11"/>
        <v>0</v>
      </c>
    </row>
    <row r="155" spans="1:8">
      <c r="A155" s="1126" t="s">
        <v>230</v>
      </c>
      <c r="B155" s="1127" t="s">
        <v>155</v>
      </c>
      <c r="C155" s="129">
        <f t="shared" si="12"/>
        <v>630</v>
      </c>
      <c r="D155" s="1094">
        <v>630</v>
      </c>
      <c r="E155" s="1095"/>
      <c r="F155" s="1096"/>
      <c r="H155" s="141">
        <f t="shared" si="11"/>
        <v>0</v>
      </c>
    </row>
    <row r="156" spans="1:8">
      <c r="A156" s="1126" t="s">
        <v>231</v>
      </c>
      <c r="B156" s="1127" t="s">
        <v>156</v>
      </c>
      <c r="C156" s="129">
        <f t="shared" si="12"/>
        <v>0</v>
      </c>
      <c r="D156" s="1094"/>
      <c r="E156" s="1095"/>
      <c r="F156" s="1096"/>
      <c r="H156" s="141">
        <f t="shared" si="11"/>
        <v>0</v>
      </c>
    </row>
    <row r="157" spans="1:8">
      <c r="A157" s="1126" t="s">
        <v>269</v>
      </c>
      <c r="B157" s="1127" t="s">
        <v>157</v>
      </c>
      <c r="C157" s="129">
        <f t="shared" si="12"/>
        <v>0</v>
      </c>
      <c r="D157" s="1094"/>
      <c r="E157" s="1095"/>
      <c r="F157" s="1096"/>
      <c r="H157" s="141">
        <f t="shared" si="11"/>
        <v>0</v>
      </c>
    </row>
    <row r="158" spans="1:8" ht="12.75" thickBot="1">
      <c r="A158" s="1128" t="s">
        <v>270</v>
      </c>
      <c r="B158" s="1129" t="s">
        <v>158</v>
      </c>
      <c r="C158" s="142">
        <f t="shared" si="12"/>
        <v>170</v>
      </c>
      <c r="D158" s="1097">
        <v>170</v>
      </c>
      <c r="E158" s="1098"/>
      <c r="F158" s="1099"/>
      <c r="H158" s="141">
        <f t="shared" si="11"/>
        <v>0</v>
      </c>
    </row>
    <row r="159" spans="1:8" s="143" customFormat="1" ht="12.75" thickBot="1">
      <c r="A159" s="1113" t="s">
        <v>12</v>
      </c>
      <c r="B159" s="1121" t="s">
        <v>313</v>
      </c>
      <c r="C159" s="130">
        <f>+C161+C162+C163+C164</f>
        <v>0</v>
      </c>
      <c r="D159" s="131">
        <f>+D161+D162+D163+D164</f>
        <v>0</v>
      </c>
      <c r="E159" s="132">
        <f>+E161+E162+E163+E164</f>
        <v>0</v>
      </c>
      <c r="F159" s="133">
        <f>+F161+F162+F163+F164</f>
        <v>0</v>
      </c>
      <c r="H159" s="143">
        <f t="shared" si="11"/>
        <v>0</v>
      </c>
    </row>
    <row r="160" spans="1:8" s="1104" customFormat="1">
      <c r="A160" s="1150" t="s">
        <v>344</v>
      </c>
      <c r="B160" s="1151" t="s">
        <v>345</v>
      </c>
      <c r="C160" s="1152">
        <f>+D160+E160+F160</f>
        <v>0</v>
      </c>
      <c r="D160" s="1153"/>
      <c r="E160" s="1154"/>
      <c r="F160" s="1155"/>
      <c r="H160" s="1104">
        <f t="shared" si="11"/>
        <v>0</v>
      </c>
    </row>
    <row r="161" spans="1:8">
      <c r="A161" s="1122" t="s">
        <v>69</v>
      </c>
      <c r="B161" s="135" t="s">
        <v>159</v>
      </c>
      <c r="C161" s="136">
        <f>+D161+E161+F161</f>
        <v>0</v>
      </c>
      <c r="D161" s="137"/>
      <c r="E161" s="138"/>
      <c r="F161" s="139"/>
      <c r="H161" s="141">
        <f t="shared" si="11"/>
        <v>0</v>
      </c>
    </row>
    <row r="162" spans="1:8">
      <c r="A162" s="1126" t="s">
        <v>70</v>
      </c>
      <c r="B162" s="1127" t="s">
        <v>160</v>
      </c>
      <c r="C162" s="129">
        <f>+D162+E162+F162</f>
        <v>0</v>
      </c>
      <c r="D162" s="1094"/>
      <c r="E162" s="1095"/>
      <c r="F162" s="1096"/>
      <c r="H162" s="141">
        <f t="shared" si="11"/>
        <v>0</v>
      </c>
    </row>
    <row r="163" spans="1:8">
      <c r="A163" s="1126" t="s">
        <v>71</v>
      </c>
      <c r="B163" s="1127" t="s">
        <v>161</v>
      </c>
      <c r="C163" s="129">
        <f>+D163+E163+F163</f>
        <v>0</v>
      </c>
      <c r="D163" s="1094"/>
      <c r="E163" s="1095"/>
      <c r="F163" s="1096"/>
      <c r="H163" s="141">
        <f t="shared" si="11"/>
        <v>0</v>
      </c>
    </row>
    <row r="164" spans="1:8" ht="12.75" thickBot="1">
      <c r="A164" s="1128" t="s">
        <v>72</v>
      </c>
      <c r="B164" s="1129" t="s">
        <v>162</v>
      </c>
      <c r="C164" s="142">
        <f>+D164+E164+F164</f>
        <v>0</v>
      </c>
      <c r="D164" s="1097"/>
      <c r="E164" s="1098"/>
      <c r="F164" s="1099"/>
      <c r="H164" s="141">
        <f t="shared" si="11"/>
        <v>0</v>
      </c>
    </row>
    <row r="165" spans="1:8" s="143" customFormat="1" ht="12.75" thickBot="1">
      <c r="A165" s="1113" t="s">
        <v>11</v>
      </c>
      <c r="B165" s="1121" t="s">
        <v>942</v>
      </c>
      <c r="C165" s="130">
        <f>+C166+C167+C168+C169+C171+C172+C173+C174+C175</f>
        <v>0</v>
      </c>
      <c r="D165" s="131">
        <f>+D166+D167+D168+D169+D171+D172+D173+D174+D175</f>
        <v>0</v>
      </c>
      <c r="E165" s="132">
        <f>+E166+E167+E168+E169+E171+E172+E173+E174+E175</f>
        <v>0</v>
      </c>
      <c r="F165" s="133">
        <f>+F166+F167+F168+F169+F171+F172+F173+F174+F175</f>
        <v>0</v>
      </c>
      <c r="H165" s="143">
        <f t="shared" si="11"/>
        <v>0</v>
      </c>
    </row>
    <row r="166" spans="1:8">
      <c r="A166" s="1122" t="s">
        <v>271</v>
      </c>
      <c r="B166" s="135" t="s">
        <v>163</v>
      </c>
      <c r="C166" s="136">
        <f t="shared" ref="C166:C175" si="13">+D166+E166+F166</f>
        <v>0</v>
      </c>
      <c r="D166" s="137"/>
      <c r="E166" s="138"/>
      <c r="F166" s="139"/>
      <c r="H166" s="141">
        <f t="shared" si="11"/>
        <v>0</v>
      </c>
    </row>
    <row r="167" spans="1:8">
      <c r="A167" s="1126" t="s">
        <v>272</v>
      </c>
      <c r="B167" s="1127" t="s">
        <v>164</v>
      </c>
      <c r="C167" s="129">
        <f t="shared" si="13"/>
        <v>0</v>
      </c>
      <c r="D167" s="1094"/>
      <c r="E167" s="1095"/>
      <c r="F167" s="1096"/>
      <c r="H167" s="141">
        <f t="shared" si="11"/>
        <v>0</v>
      </c>
    </row>
    <row r="168" spans="1:8">
      <c r="A168" s="1126" t="s">
        <v>273</v>
      </c>
      <c r="B168" s="1127" t="s">
        <v>165</v>
      </c>
      <c r="C168" s="129">
        <f t="shared" si="13"/>
        <v>0</v>
      </c>
      <c r="D168" s="1094"/>
      <c r="E168" s="1095"/>
      <c r="F168" s="1096"/>
      <c r="H168" s="141">
        <f t="shared" si="11"/>
        <v>0</v>
      </c>
    </row>
    <row r="169" spans="1:8">
      <c r="A169" s="1126" t="s">
        <v>274</v>
      </c>
      <c r="B169" s="1127" t="s">
        <v>166</v>
      </c>
      <c r="C169" s="129">
        <f t="shared" si="13"/>
        <v>0</v>
      </c>
      <c r="D169" s="1094"/>
      <c r="E169" s="1095"/>
      <c r="F169" s="1096"/>
      <c r="H169" s="141">
        <f t="shared" si="11"/>
        <v>0</v>
      </c>
    </row>
    <row r="170" spans="1:8" s="140" customFormat="1">
      <c r="A170" s="1130" t="s">
        <v>339</v>
      </c>
      <c r="B170" s="1131" t="s">
        <v>340</v>
      </c>
      <c r="C170" s="1132">
        <f t="shared" si="13"/>
        <v>0</v>
      </c>
      <c r="D170" s="1133"/>
      <c r="E170" s="1134"/>
      <c r="F170" s="1135"/>
      <c r="H170" s="140">
        <f t="shared" si="11"/>
        <v>0</v>
      </c>
    </row>
    <row r="171" spans="1:8">
      <c r="A171" s="1126" t="s">
        <v>275</v>
      </c>
      <c r="B171" s="1127" t="s">
        <v>167</v>
      </c>
      <c r="C171" s="129">
        <f t="shared" si="13"/>
        <v>0</v>
      </c>
      <c r="D171" s="1094"/>
      <c r="E171" s="1095"/>
      <c r="F171" s="1096"/>
      <c r="H171" s="141">
        <f t="shared" si="11"/>
        <v>0</v>
      </c>
    </row>
    <row r="172" spans="1:8">
      <c r="A172" s="1126" t="s">
        <v>276</v>
      </c>
      <c r="B172" s="1127" t="s">
        <v>168</v>
      </c>
      <c r="C172" s="129">
        <f t="shared" si="13"/>
        <v>0</v>
      </c>
      <c r="D172" s="1094"/>
      <c r="E172" s="1095"/>
      <c r="F172" s="1096"/>
      <c r="H172" s="141">
        <f t="shared" si="11"/>
        <v>0</v>
      </c>
    </row>
    <row r="173" spans="1:8">
      <c r="A173" s="1126" t="s">
        <v>277</v>
      </c>
      <c r="B173" s="1127" t="s">
        <v>169</v>
      </c>
      <c r="C173" s="129">
        <f t="shared" si="13"/>
        <v>0</v>
      </c>
      <c r="D173" s="1094"/>
      <c r="E173" s="1095"/>
      <c r="F173" s="1096"/>
      <c r="H173" s="141">
        <f t="shared" si="11"/>
        <v>0</v>
      </c>
    </row>
    <row r="174" spans="1:8">
      <c r="A174" s="1126" t="s">
        <v>278</v>
      </c>
      <c r="B174" s="1127" t="s">
        <v>943</v>
      </c>
      <c r="C174" s="129">
        <f>+D174+E174+F174</f>
        <v>0</v>
      </c>
      <c r="D174" s="1094"/>
      <c r="E174" s="1095"/>
      <c r="F174" s="1096"/>
      <c r="H174" s="141">
        <f t="shared" si="11"/>
        <v>0</v>
      </c>
    </row>
    <row r="175" spans="1:8" ht="12.75" thickBot="1">
      <c r="A175" s="1128" t="s">
        <v>941</v>
      </c>
      <c r="B175" s="1129" t="s">
        <v>944</v>
      </c>
      <c r="C175" s="142">
        <f t="shared" si="13"/>
        <v>0</v>
      </c>
      <c r="D175" s="1097"/>
      <c r="E175" s="1098"/>
      <c r="F175" s="1099"/>
      <c r="H175" s="141">
        <f t="shared" si="11"/>
        <v>0</v>
      </c>
    </row>
    <row r="176" spans="1:8" s="143" customFormat="1" ht="12.75" thickBot="1">
      <c r="A176" s="1113" t="s">
        <v>10</v>
      </c>
      <c r="B176" s="1136" t="s">
        <v>314</v>
      </c>
      <c r="C176" s="130">
        <f>+C109+C149</f>
        <v>400150</v>
      </c>
      <c r="D176" s="131">
        <f>+D109+D149</f>
        <v>400150</v>
      </c>
      <c r="E176" s="132">
        <f>+E109+E149</f>
        <v>0</v>
      </c>
      <c r="F176" s="133">
        <f>+F109+F149</f>
        <v>0</v>
      </c>
      <c r="H176" s="143">
        <f t="shared" si="11"/>
        <v>0</v>
      </c>
    </row>
    <row r="177" spans="1:8" s="143" customFormat="1" ht="12.75" thickBot="1">
      <c r="A177" s="1113" t="s">
        <v>9</v>
      </c>
      <c r="B177" s="1137" t="s">
        <v>315</v>
      </c>
      <c r="C177" s="130">
        <f>+C178</f>
        <v>0</v>
      </c>
      <c r="D177" s="131">
        <f>+D178</f>
        <v>0</v>
      </c>
      <c r="E177" s="132">
        <f>+E178</f>
        <v>0</v>
      </c>
      <c r="F177" s="133">
        <f>+F178</f>
        <v>0</v>
      </c>
      <c r="H177" s="143">
        <f t="shared" si="11"/>
        <v>0</v>
      </c>
    </row>
    <row r="178" spans="1:8" s="143" customFormat="1" ht="12.75" thickBot="1">
      <c r="A178" s="1113" t="s">
        <v>45</v>
      </c>
      <c r="B178" s="1121" t="s">
        <v>951</v>
      </c>
      <c r="C178" s="130">
        <f>+C179+C189+C190+C191</f>
        <v>0</v>
      </c>
      <c r="D178" s="131">
        <f>+D179+D189+D190+D191</f>
        <v>0</v>
      </c>
      <c r="E178" s="132">
        <f>+E179+E189+E190+E191</f>
        <v>0</v>
      </c>
      <c r="F178" s="133">
        <f>+F179+F189+F190+F191</f>
        <v>0</v>
      </c>
      <c r="H178" s="143">
        <f t="shared" si="11"/>
        <v>0</v>
      </c>
    </row>
    <row r="179" spans="1:8">
      <c r="A179" s="1122" t="s">
        <v>75</v>
      </c>
      <c r="B179" s="135" t="s">
        <v>952</v>
      </c>
      <c r="C179" s="136">
        <f>+C180+C181+C182+C183+C184+C185+C186+C187+C188</f>
        <v>0</v>
      </c>
      <c r="D179" s="137">
        <f>+D180+D181+D182+D183+D184+D185+D186+D187+D188</f>
        <v>0</v>
      </c>
      <c r="E179" s="138">
        <f>+E180+E181+E182+E183+E184+E185+E186+E187+E188</f>
        <v>0</v>
      </c>
      <c r="F179" s="139">
        <f>+F180+F181+F182+F183+F184+F185+F186+F187+F188</f>
        <v>0</v>
      </c>
      <c r="H179" s="141">
        <f t="shared" si="11"/>
        <v>0</v>
      </c>
    </row>
    <row r="180" spans="1:8" s="140" customFormat="1">
      <c r="A180" s="127" t="s">
        <v>205</v>
      </c>
      <c r="B180" s="128" t="s">
        <v>170</v>
      </c>
      <c r="C180" s="134">
        <f t="shared" ref="C180:C190" si="14">+D180+E180+F180</f>
        <v>0</v>
      </c>
      <c r="D180" s="769"/>
      <c r="E180" s="770"/>
      <c r="F180" s="771"/>
      <c r="H180" s="140">
        <f t="shared" si="11"/>
        <v>0</v>
      </c>
    </row>
    <row r="181" spans="1:8" s="140" customFormat="1">
      <c r="A181" s="127" t="s">
        <v>206</v>
      </c>
      <c r="B181" s="128" t="s">
        <v>171</v>
      </c>
      <c r="C181" s="134">
        <f t="shared" si="14"/>
        <v>0</v>
      </c>
      <c r="D181" s="769"/>
      <c r="E181" s="770"/>
      <c r="F181" s="771"/>
      <c r="H181" s="140">
        <f t="shared" si="11"/>
        <v>0</v>
      </c>
    </row>
    <row r="182" spans="1:8" s="140" customFormat="1">
      <c r="A182" s="127" t="s">
        <v>207</v>
      </c>
      <c r="B182" s="128" t="s">
        <v>172</v>
      </c>
      <c r="C182" s="134">
        <f t="shared" si="14"/>
        <v>0</v>
      </c>
      <c r="D182" s="769"/>
      <c r="E182" s="770"/>
      <c r="F182" s="771"/>
      <c r="H182" s="140">
        <f t="shared" si="11"/>
        <v>0</v>
      </c>
    </row>
    <row r="183" spans="1:8" s="140" customFormat="1">
      <c r="A183" s="127" t="s">
        <v>208</v>
      </c>
      <c r="B183" s="128" t="s">
        <v>173</v>
      </c>
      <c r="C183" s="134">
        <f t="shared" si="14"/>
        <v>0</v>
      </c>
      <c r="D183" s="769"/>
      <c r="E183" s="770"/>
      <c r="F183" s="771"/>
      <c r="H183" s="140">
        <f t="shared" si="11"/>
        <v>0</v>
      </c>
    </row>
    <row r="184" spans="1:8" s="140" customFormat="1">
      <c r="A184" s="127" t="s">
        <v>209</v>
      </c>
      <c r="B184" s="128" t="s">
        <v>174</v>
      </c>
      <c r="C184" s="134">
        <f t="shared" si="14"/>
        <v>0</v>
      </c>
      <c r="D184" s="769"/>
      <c r="E184" s="770"/>
      <c r="F184" s="771"/>
      <c r="H184" s="140">
        <f t="shared" si="11"/>
        <v>0</v>
      </c>
    </row>
    <row r="185" spans="1:8" s="140" customFormat="1">
      <c r="A185" s="127" t="s">
        <v>210</v>
      </c>
      <c r="B185" s="128" t="s">
        <v>179</v>
      </c>
      <c r="C185" s="134">
        <f t="shared" si="14"/>
        <v>0</v>
      </c>
      <c r="D185" s="769"/>
      <c r="E185" s="770"/>
      <c r="F185" s="771"/>
      <c r="H185" s="140">
        <f t="shared" si="11"/>
        <v>0</v>
      </c>
    </row>
    <row r="186" spans="1:8" s="140" customFormat="1">
      <c r="A186" s="127" t="s">
        <v>211</v>
      </c>
      <c r="B186" s="128" t="s">
        <v>175</v>
      </c>
      <c r="C186" s="134">
        <f t="shared" si="14"/>
        <v>0</v>
      </c>
      <c r="D186" s="769"/>
      <c r="E186" s="770"/>
      <c r="F186" s="771"/>
      <c r="H186" s="140">
        <f t="shared" si="11"/>
        <v>0</v>
      </c>
    </row>
    <row r="187" spans="1:8" s="140" customFormat="1">
      <c r="A187" s="127" t="s">
        <v>212</v>
      </c>
      <c r="B187" s="128" t="s">
        <v>176</v>
      </c>
      <c r="C187" s="134">
        <f t="shared" si="14"/>
        <v>0</v>
      </c>
      <c r="D187" s="769"/>
      <c r="E187" s="770"/>
      <c r="F187" s="771"/>
      <c r="H187" s="140">
        <f t="shared" si="11"/>
        <v>0</v>
      </c>
    </row>
    <row r="188" spans="1:8" s="140" customFormat="1">
      <c r="A188" s="127" t="s">
        <v>945</v>
      </c>
      <c r="B188" s="128" t="s">
        <v>947</v>
      </c>
      <c r="C188" s="134">
        <f>+D188+E188+F188</f>
        <v>0</v>
      </c>
      <c r="D188" s="769"/>
      <c r="E188" s="770"/>
      <c r="F188" s="771"/>
      <c r="H188" s="140">
        <f t="shared" si="11"/>
        <v>0</v>
      </c>
    </row>
    <row r="189" spans="1:8">
      <c r="A189" s="1126" t="s">
        <v>76</v>
      </c>
      <c r="B189" s="1127" t="s">
        <v>177</v>
      </c>
      <c r="C189" s="129">
        <f t="shared" si="14"/>
        <v>0</v>
      </c>
      <c r="D189" s="1094"/>
      <c r="E189" s="1095"/>
      <c r="F189" s="1096"/>
      <c r="H189" s="141">
        <f t="shared" si="11"/>
        <v>0</v>
      </c>
    </row>
    <row r="190" spans="1:8">
      <c r="A190" s="1128" t="s">
        <v>77</v>
      </c>
      <c r="B190" s="1129" t="s">
        <v>178</v>
      </c>
      <c r="C190" s="142">
        <f t="shared" si="14"/>
        <v>0</v>
      </c>
      <c r="D190" s="1097"/>
      <c r="E190" s="1098"/>
      <c r="F190" s="1099"/>
      <c r="H190" s="141">
        <f t="shared" si="11"/>
        <v>0</v>
      </c>
    </row>
    <row r="191" spans="1:8" ht="12.75" thickBot="1">
      <c r="A191" s="1128" t="s">
        <v>950</v>
      </c>
      <c r="B191" s="1129" t="s">
        <v>948</v>
      </c>
      <c r="C191" s="142">
        <f>+D191+E191+F191</f>
        <v>0</v>
      </c>
      <c r="D191" s="1097"/>
      <c r="E191" s="1098"/>
      <c r="F191" s="1099"/>
      <c r="H191" s="141">
        <f t="shared" si="11"/>
        <v>0</v>
      </c>
    </row>
    <row r="192" spans="1:8" s="143" customFormat="1" ht="12.75" thickBot="1">
      <c r="A192" s="1113" t="s">
        <v>44</v>
      </c>
      <c r="B192" s="1136" t="s">
        <v>316</v>
      </c>
      <c r="C192" s="130">
        <f>+C193</f>
        <v>0</v>
      </c>
      <c r="D192" s="131">
        <f>+D193</f>
        <v>0</v>
      </c>
      <c r="E192" s="132">
        <f>+E193</f>
        <v>0</v>
      </c>
      <c r="F192" s="133">
        <f>+F193</f>
        <v>0</v>
      </c>
      <c r="H192" s="143">
        <f t="shared" si="11"/>
        <v>0</v>
      </c>
    </row>
    <row r="193" spans="1:8" s="143" customFormat="1" ht="12.75" thickBot="1">
      <c r="A193" s="1113" t="s">
        <v>43</v>
      </c>
      <c r="B193" s="1121" t="s">
        <v>946</v>
      </c>
      <c r="C193" s="130">
        <f>+C194+C204+C205+C206</f>
        <v>0</v>
      </c>
      <c r="D193" s="131">
        <f>+D194+D204+D205+D206</f>
        <v>0</v>
      </c>
      <c r="E193" s="132">
        <f>+E194+E204+E205+E206</f>
        <v>0</v>
      </c>
      <c r="F193" s="133">
        <f>+F194+F204+F205+F206</f>
        <v>0</v>
      </c>
      <c r="H193" s="143">
        <f t="shared" si="11"/>
        <v>0</v>
      </c>
    </row>
    <row r="194" spans="1:8">
      <c r="A194" s="1122" t="s">
        <v>78</v>
      </c>
      <c r="B194" s="135" t="s">
        <v>984</v>
      </c>
      <c r="C194" s="136">
        <f>+C195+C196+C197+C198+C199+C200+C201+C202+C203</f>
        <v>0</v>
      </c>
      <c r="D194" s="137">
        <f>+D195+D196+D197+D198+D199+D200+D201+D202+D203</f>
        <v>0</v>
      </c>
      <c r="E194" s="138">
        <f>+E195+E196+E197+E198+E199+E200+E201+E202+E203</f>
        <v>0</v>
      </c>
      <c r="F194" s="139">
        <f>+F195+F196+F197+F198+F199+F200+F201+F202+F203</f>
        <v>0</v>
      </c>
      <c r="H194" s="141">
        <f t="shared" si="11"/>
        <v>0</v>
      </c>
    </row>
    <row r="195" spans="1:8" s="140" customFormat="1">
      <c r="A195" s="127" t="s">
        <v>213</v>
      </c>
      <c r="B195" s="128" t="s">
        <v>170</v>
      </c>
      <c r="C195" s="134">
        <f t="shared" ref="C195:C205" si="15">+D195+E195+F195</f>
        <v>0</v>
      </c>
      <c r="D195" s="769"/>
      <c r="E195" s="770"/>
      <c r="F195" s="771"/>
      <c r="H195" s="140">
        <f t="shared" si="11"/>
        <v>0</v>
      </c>
    </row>
    <row r="196" spans="1:8" s="140" customFormat="1">
      <c r="A196" s="127" t="s">
        <v>214</v>
      </c>
      <c r="B196" s="128" t="s">
        <v>171</v>
      </c>
      <c r="C196" s="134">
        <f t="shared" si="15"/>
        <v>0</v>
      </c>
      <c r="D196" s="769"/>
      <c r="E196" s="770"/>
      <c r="F196" s="771"/>
      <c r="H196" s="140">
        <f t="shared" si="11"/>
        <v>0</v>
      </c>
    </row>
    <row r="197" spans="1:8" s="140" customFormat="1">
      <c r="A197" s="127" t="s">
        <v>215</v>
      </c>
      <c r="B197" s="128" t="s">
        <v>172</v>
      </c>
      <c r="C197" s="134">
        <f t="shared" si="15"/>
        <v>0</v>
      </c>
      <c r="D197" s="769"/>
      <c r="E197" s="770"/>
      <c r="F197" s="771"/>
      <c r="H197" s="140">
        <f t="shared" si="11"/>
        <v>0</v>
      </c>
    </row>
    <row r="198" spans="1:8" s="140" customFormat="1">
      <c r="A198" s="127" t="s">
        <v>216</v>
      </c>
      <c r="B198" s="128" t="s">
        <v>173</v>
      </c>
      <c r="C198" s="134">
        <f t="shared" si="15"/>
        <v>0</v>
      </c>
      <c r="D198" s="769"/>
      <c r="E198" s="770"/>
      <c r="F198" s="771"/>
      <c r="H198" s="140">
        <f t="shared" si="11"/>
        <v>0</v>
      </c>
    </row>
    <row r="199" spans="1:8" s="140" customFormat="1">
      <c r="A199" s="127" t="s">
        <v>217</v>
      </c>
      <c r="B199" s="128" t="s">
        <v>174</v>
      </c>
      <c r="C199" s="134">
        <f t="shared" si="15"/>
        <v>0</v>
      </c>
      <c r="D199" s="769"/>
      <c r="E199" s="770"/>
      <c r="F199" s="771"/>
      <c r="H199" s="140">
        <f t="shared" si="11"/>
        <v>0</v>
      </c>
    </row>
    <row r="200" spans="1:8" s="140" customFormat="1">
      <c r="A200" s="127" t="s">
        <v>218</v>
      </c>
      <c r="B200" s="128" t="s">
        <v>179</v>
      </c>
      <c r="C200" s="134">
        <f t="shared" si="15"/>
        <v>0</v>
      </c>
      <c r="D200" s="769"/>
      <c r="E200" s="770"/>
      <c r="F200" s="771"/>
      <c r="H200" s="140">
        <f t="shared" si="11"/>
        <v>0</v>
      </c>
    </row>
    <row r="201" spans="1:8" s="140" customFormat="1">
      <c r="A201" s="127" t="s">
        <v>219</v>
      </c>
      <c r="B201" s="128" t="s">
        <v>175</v>
      </c>
      <c r="C201" s="134">
        <f t="shared" si="15"/>
        <v>0</v>
      </c>
      <c r="D201" s="769"/>
      <c r="E201" s="770"/>
      <c r="F201" s="771"/>
      <c r="H201" s="140">
        <f t="shared" si="11"/>
        <v>0</v>
      </c>
    </row>
    <row r="202" spans="1:8" s="140" customFormat="1">
      <c r="A202" s="127" t="s">
        <v>220</v>
      </c>
      <c r="B202" s="128" t="s">
        <v>176</v>
      </c>
      <c r="C202" s="134">
        <f t="shared" si="15"/>
        <v>0</v>
      </c>
      <c r="D202" s="769"/>
      <c r="E202" s="770"/>
      <c r="F202" s="771"/>
      <c r="H202" s="140">
        <f t="shared" si="11"/>
        <v>0</v>
      </c>
    </row>
    <row r="203" spans="1:8" s="140" customFormat="1">
      <c r="A203" s="127" t="s">
        <v>945</v>
      </c>
      <c r="B203" s="128" t="s">
        <v>947</v>
      </c>
      <c r="C203" s="134">
        <f>+D203+E203+F203</f>
        <v>0</v>
      </c>
      <c r="D203" s="769"/>
      <c r="E203" s="770"/>
      <c r="F203" s="771"/>
      <c r="H203" s="140">
        <f t="shared" ref="H203:H242" si="16">+C203-D203-E203-F203</f>
        <v>0</v>
      </c>
    </row>
    <row r="204" spans="1:8">
      <c r="A204" s="1126" t="s">
        <v>79</v>
      </c>
      <c r="B204" s="1127" t="s">
        <v>177</v>
      </c>
      <c r="C204" s="129">
        <f t="shared" si="15"/>
        <v>0</v>
      </c>
      <c r="D204" s="1094"/>
      <c r="E204" s="1095"/>
      <c r="F204" s="1096"/>
      <c r="H204" s="141">
        <f t="shared" si="16"/>
        <v>0</v>
      </c>
    </row>
    <row r="205" spans="1:8">
      <c r="A205" s="1128" t="s">
        <v>221</v>
      </c>
      <c r="B205" s="1129" t="s">
        <v>178</v>
      </c>
      <c r="C205" s="142">
        <f t="shared" si="15"/>
        <v>0</v>
      </c>
      <c r="D205" s="1097"/>
      <c r="E205" s="1098"/>
      <c r="F205" s="1099"/>
      <c r="H205" s="141">
        <f t="shared" si="16"/>
        <v>0</v>
      </c>
    </row>
    <row r="206" spans="1:8" ht="12.75" thickBot="1">
      <c r="A206" s="1128" t="s">
        <v>949</v>
      </c>
      <c r="B206" s="1129" t="s">
        <v>948</v>
      </c>
      <c r="C206" s="142">
        <f>+D206+E206+F206</f>
        <v>0</v>
      </c>
      <c r="D206" s="1097"/>
      <c r="E206" s="1098"/>
      <c r="F206" s="1099"/>
      <c r="H206" s="141">
        <f t="shared" si="16"/>
        <v>0</v>
      </c>
    </row>
    <row r="207" spans="1:8" s="143" customFormat="1" ht="12.75" thickBot="1">
      <c r="A207" s="1113" t="s">
        <v>40</v>
      </c>
      <c r="B207" s="1136" t="s">
        <v>317</v>
      </c>
      <c r="C207" s="130">
        <f>+C177+C192</f>
        <v>0</v>
      </c>
      <c r="D207" s="131">
        <f>+D177+D192</f>
        <v>0</v>
      </c>
      <c r="E207" s="132">
        <f>+E177+E192</f>
        <v>0</v>
      </c>
      <c r="F207" s="133">
        <f>+F177+F192</f>
        <v>0</v>
      </c>
      <c r="H207" s="143">
        <f t="shared" si="16"/>
        <v>0</v>
      </c>
    </row>
    <row r="208" spans="1:8" s="143" customFormat="1" ht="12.75" thickBot="1">
      <c r="A208" s="1138" t="s">
        <v>39</v>
      </c>
      <c r="B208" s="1139" t="s">
        <v>335</v>
      </c>
      <c r="C208" s="1140">
        <f>+C176+C207</f>
        <v>400150</v>
      </c>
      <c r="D208" s="1141">
        <f>+D176+D207</f>
        <v>400150</v>
      </c>
      <c r="E208" s="1142">
        <f>+E176+E207</f>
        <v>0</v>
      </c>
      <c r="F208" s="1143">
        <f>+F176+F207</f>
        <v>0</v>
      </c>
      <c r="H208" s="143">
        <f t="shared" si="16"/>
        <v>0</v>
      </c>
    </row>
    <row r="211" spans="1:28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1104" customFormat="1" ht="12.75" thickBot="1">
      <c r="A212" s="1103" t="s">
        <v>282</v>
      </c>
      <c r="F212" s="1105" t="s">
        <v>281</v>
      </c>
    </row>
    <row r="213" spans="1:28" s="143" customFormat="1" ht="12.75" thickBot="1">
      <c r="A213" s="1113" t="s">
        <v>4</v>
      </c>
      <c r="B213" s="1136" t="s">
        <v>318</v>
      </c>
      <c r="C213" s="130">
        <f>+C214+C215</f>
        <v>-380278</v>
      </c>
      <c r="D213" s="131">
        <f>+D214+D215</f>
        <v>-380278</v>
      </c>
      <c r="E213" s="132">
        <f>+E214+E215</f>
        <v>0</v>
      </c>
      <c r="F213" s="133">
        <f>+F214+F215</f>
        <v>0</v>
      </c>
      <c r="H213" s="143">
        <f t="shared" si="16"/>
        <v>0</v>
      </c>
    </row>
    <row r="214" spans="1:28">
      <c r="A214" s="1122" t="s">
        <v>81</v>
      </c>
      <c r="B214" s="1165" t="s">
        <v>319</v>
      </c>
      <c r="C214" s="136">
        <f>+C10-C109</f>
        <v>-379478</v>
      </c>
      <c r="D214" s="137">
        <f>+D10-D109</f>
        <v>-379478</v>
      </c>
      <c r="E214" s="138">
        <f>+E10-E109</f>
        <v>0</v>
      </c>
      <c r="F214" s="139">
        <f>+F10-F109</f>
        <v>0</v>
      </c>
      <c r="H214" s="141">
        <f t="shared" si="16"/>
        <v>0</v>
      </c>
    </row>
    <row r="215" spans="1:28" ht="12.75" thickBot="1">
      <c r="A215" s="1166" t="s">
        <v>82</v>
      </c>
      <c r="B215" s="1167" t="s">
        <v>320</v>
      </c>
      <c r="C215" s="1168">
        <f>+C50-C149</f>
        <v>-800</v>
      </c>
      <c r="D215" s="1169">
        <f>+D50-D149</f>
        <v>-800</v>
      </c>
      <c r="E215" s="1163">
        <f>+E50-E149</f>
        <v>0</v>
      </c>
      <c r="F215" s="1164">
        <f>+F50-F149</f>
        <v>0</v>
      </c>
      <c r="H215" s="141">
        <f t="shared" si="16"/>
        <v>0</v>
      </c>
    </row>
    <row r="218" spans="1:28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1104" customFormat="1" ht="12.75" thickBot="1">
      <c r="A219" s="1103" t="s">
        <v>283</v>
      </c>
      <c r="F219" s="1105" t="s">
        <v>281</v>
      </c>
    </row>
    <row r="220" spans="1:28" s="143" customFormat="1" ht="12.75" thickBot="1">
      <c r="A220" s="1113" t="s">
        <v>4</v>
      </c>
      <c r="B220" s="1136" t="s">
        <v>321</v>
      </c>
      <c r="C220" s="130">
        <f>+C221+C228</f>
        <v>380278</v>
      </c>
      <c r="D220" s="131">
        <f>+D221+D228</f>
        <v>380278</v>
      </c>
      <c r="E220" s="132">
        <f>+E221+E228</f>
        <v>0</v>
      </c>
      <c r="F220" s="133">
        <f>+F221+F228</f>
        <v>0</v>
      </c>
      <c r="H220" s="143">
        <f t="shared" si="16"/>
        <v>0</v>
      </c>
    </row>
    <row r="221" spans="1:28" s="143" customFormat="1" ht="12.75" thickBot="1">
      <c r="A221" s="1113" t="s">
        <v>5</v>
      </c>
      <c r="B221" s="1121" t="s">
        <v>322</v>
      </c>
      <c r="C221" s="130">
        <f>+C222-C225</f>
        <v>379478</v>
      </c>
      <c r="D221" s="131">
        <f>+D222-D225</f>
        <v>379478</v>
      </c>
      <c r="E221" s="132">
        <f>+E222-E225</f>
        <v>0</v>
      </c>
      <c r="F221" s="133">
        <f>+F222-F225</f>
        <v>0</v>
      </c>
      <c r="H221" s="143">
        <f t="shared" si="16"/>
        <v>0</v>
      </c>
    </row>
    <row r="222" spans="1:28">
      <c r="A222" s="1122" t="s">
        <v>54</v>
      </c>
      <c r="B222" s="135" t="s">
        <v>323</v>
      </c>
      <c r="C222" s="136">
        <f>+C223+C224</f>
        <v>379478</v>
      </c>
      <c r="D222" s="137">
        <f>+D223+D224</f>
        <v>379478</v>
      </c>
      <c r="E222" s="138">
        <f>+E223+E224</f>
        <v>0</v>
      </c>
      <c r="F222" s="139">
        <f>+F223+F224</f>
        <v>0</v>
      </c>
      <c r="H222" s="141">
        <f t="shared" si="16"/>
        <v>0</v>
      </c>
    </row>
    <row r="223" spans="1:28" s="140" customFormat="1">
      <c r="A223" s="127" t="s">
        <v>190</v>
      </c>
      <c r="B223" s="128" t="s">
        <v>285</v>
      </c>
      <c r="C223" s="134">
        <f>+C76+C80</f>
        <v>0</v>
      </c>
      <c r="D223" s="769">
        <f>+D76+D80</f>
        <v>0</v>
      </c>
      <c r="E223" s="770">
        <f>+E76+E80</f>
        <v>0</v>
      </c>
      <c r="F223" s="771">
        <f>+F76+F80</f>
        <v>0</v>
      </c>
      <c r="H223" s="140">
        <f t="shared" si="16"/>
        <v>0</v>
      </c>
    </row>
    <row r="224" spans="1:28" s="140" customFormat="1">
      <c r="A224" s="127" t="s">
        <v>191</v>
      </c>
      <c r="B224" s="128" t="s">
        <v>286</v>
      </c>
      <c r="C224" s="134">
        <f>+C74+C75+C77+C78+C79+C81</f>
        <v>379478</v>
      </c>
      <c r="D224" s="769">
        <f>+D74+D75+D77+D78+D79+D81</f>
        <v>379478</v>
      </c>
      <c r="E224" s="770">
        <f>+E74+E75+E77+E78+E79+E81</f>
        <v>0</v>
      </c>
      <c r="F224" s="771">
        <f>+F74+F75+F77+F78+F79+F81</f>
        <v>0</v>
      </c>
      <c r="H224" s="140">
        <f t="shared" si="16"/>
        <v>0</v>
      </c>
    </row>
    <row r="225" spans="1:28">
      <c r="A225" s="1126" t="s">
        <v>55</v>
      </c>
      <c r="B225" s="1127" t="s">
        <v>324</v>
      </c>
      <c r="C225" s="129">
        <f>+C227</f>
        <v>0</v>
      </c>
      <c r="D225" s="1094">
        <f>+D227</f>
        <v>0</v>
      </c>
      <c r="E225" s="1095">
        <f>+E227</f>
        <v>0</v>
      </c>
      <c r="F225" s="1096">
        <f>+F227</f>
        <v>0</v>
      </c>
      <c r="H225" s="141">
        <f t="shared" si="16"/>
        <v>0</v>
      </c>
    </row>
    <row r="226" spans="1:28" s="140" customFormat="1">
      <c r="A226" s="127" t="s">
        <v>56</v>
      </c>
      <c r="B226" s="128" t="s">
        <v>287</v>
      </c>
      <c r="C226" s="134">
        <f>+C185</f>
        <v>0</v>
      </c>
      <c r="D226" s="769">
        <f>+D185</f>
        <v>0</v>
      </c>
      <c r="E226" s="770">
        <f>+E185</f>
        <v>0</v>
      </c>
      <c r="F226" s="771">
        <f>+F185</f>
        <v>0</v>
      </c>
      <c r="H226" s="140">
        <f t="shared" si="16"/>
        <v>0</v>
      </c>
    </row>
    <row r="227" spans="1:28" s="140" customFormat="1" ht="12.75" thickBot="1">
      <c r="A227" s="1130" t="s">
        <v>57</v>
      </c>
      <c r="B227" s="1156" t="s">
        <v>288</v>
      </c>
      <c r="C227" s="1132">
        <f>+C180+C181+C182+C183+C184+C186+C187</f>
        <v>0</v>
      </c>
      <c r="D227" s="1133">
        <f>+D180+D181+D182+D183+D184+D186+D187</f>
        <v>0</v>
      </c>
      <c r="E227" s="1134">
        <f>+E180+E181+E182+E183+E184+E186+E187</f>
        <v>0</v>
      </c>
      <c r="F227" s="1135">
        <f>+F180+F181+F182+F183+F184+F186+F187</f>
        <v>0</v>
      </c>
      <c r="H227" s="140">
        <f t="shared" si="16"/>
        <v>0</v>
      </c>
    </row>
    <row r="228" spans="1:28" s="143" customFormat="1" ht="12.75" thickBot="1">
      <c r="A228" s="1113" t="s">
        <v>6</v>
      </c>
      <c r="B228" s="1121" t="s">
        <v>325</v>
      </c>
      <c r="C228" s="130">
        <f>+C229-C232</f>
        <v>800</v>
      </c>
      <c r="D228" s="131">
        <f>+D229-D232</f>
        <v>800</v>
      </c>
      <c r="E228" s="132">
        <f>+E229-E232</f>
        <v>0</v>
      </c>
      <c r="F228" s="133">
        <f>+F229-F232</f>
        <v>0</v>
      </c>
      <c r="H228" s="143">
        <f t="shared" si="16"/>
        <v>0</v>
      </c>
    </row>
    <row r="229" spans="1:28">
      <c r="A229" s="1122" t="s">
        <v>58</v>
      </c>
      <c r="B229" s="135" t="s">
        <v>326</v>
      </c>
      <c r="C229" s="136">
        <f>+C230+C231</f>
        <v>800</v>
      </c>
      <c r="D229" s="137">
        <f>+D230+D231</f>
        <v>800</v>
      </c>
      <c r="E229" s="138">
        <f>+E230+E231</f>
        <v>0</v>
      </c>
      <c r="F229" s="139">
        <f>+F230+F231</f>
        <v>0</v>
      </c>
      <c r="H229" s="141">
        <f t="shared" si="16"/>
        <v>0</v>
      </c>
    </row>
    <row r="230" spans="1:28" s="140" customFormat="1">
      <c r="A230" s="127" t="s">
        <v>293</v>
      </c>
      <c r="B230" s="128" t="s">
        <v>291</v>
      </c>
      <c r="C230" s="134">
        <f>+C91+C95</f>
        <v>0</v>
      </c>
      <c r="D230" s="769">
        <f>+D91+D95</f>
        <v>0</v>
      </c>
      <c r="E230" s="770">
        <f>+E91+E95</f>
        <v>0</v>
      </c>
      <c r="F230" s="771">
        <f>+F91+F95</f>
        <v>0</v>
      </c>
      <c r="H230" s="140">
        <f t="shared" si="16"/>
        <v>0</v>
      </c>
    </row>
    <row r="231" spans="1:28" s="140" customFormat="1">
      <c r="A231" s="127" t="s">
        <v>294</v>
      </c>
      <c r="B231" s="128" t="s">
        <v>292</v>
      </c>
      <c r="C231" s="134">
        <f>+C89+C90+C92+C93+C94+C96</f>
        <v>800</v>
      </c>
      <c r="D231" s="769">
        <f>+D89+D90+D92+D93+D94+D96</f>
        <v>800</v>
      </c>
      <c r="E231" s="770">
        <f>+E89+E90+E92+E93+E94+E96</f>
        <v>0</v>
      </c>
      <c r="F231" s="771">
        <f>+F89+F90+F92+F93+F94+F96</f>
        <v>0</v>
      </c>
      <c r="H231" s="140">
        <f t="shared" si="16"/>
        <v>0</v>
      </c>
    </row>
    <row r="232" spans="1:28">
      <c r="A232" s="1126" t="s">
        <v>59</v>
      </c>
      <c r="B232" s="1127" t="s">
        <v>327</v>
      </c>
      <c r="C232" s="129">
        <f>+C233+C234</f>
        <v>0</v>
      </c>
      <c r="D232" s="1094">
        <f>+D233+D234</f>
        <v>0</v>
      </c>
      <c r="E232" s="1095">
        <f>+E233+E234</f>
        <v>0</v>
      </c>
      <c r="F232" s="1096">
        <f>+F233+F234</f>
        <v>0</v>
      </c>
      <c r="H232" s="141">
        <f t="shared" si="16"/>
        <v>0</v>
      </c>
    </row>
    <row r="233" spans="1:28" s="140" customFormat="1">
      <c r="A233" s="127" t="s">
        <v>295</v>
      </c>
      <c r="B233" s="128" t="s">
        <v>289</v>
      </c>
      <c r="C233" s="134">
        <f>+C200</f>
        <v>0</v>
      </c>
      <c r="D233" s="769">
        <f>+D200</f>
        <v>0</v>
      </c>
      <c r="E233" s="770">
        <f>+E200</f>
        <v>0</v>
      </c>
      <c r="F233" s="771">
        <f>+F200</f>
        <v>0</v>
      </c>
      <c r="H233" s="140">
        <f t="shared" si="16"/>
        <v>0</v>
      </c>
    </row>
    <row r="234" spans="1:28" s="140" customFormat="1" ht="12.75" thickBot="1">
      <c r="A234" s="1170" t="s">
        <v>296</v>
      </c>
      <c r="B234" s="1171" t="s">
        <v>290</v>
      </c>
      <c r="C234" s="1172">
        <f>+C195+C196+C197+C198+C199+C201+C202</f>
        <v>0</v>
      </c>
      <c r="D234" s="1173">
        <f>+D195+D196+D197+D198+D199+D201+D202</f>
        <v>0</v>
      </c>
      <c r="E234" s="1174">
        <f>+E195+E196+E197+E198+E199+E201+E202</f>
        <v>0</v>
      </c>
      <c r="F234" s="1175">
        <f>+F195+F196+F197+F198+F199+F201+F202</f>
        <v>0</v>
      </c>
      <c r="H234" s="140">
        <f t="shared" si="16"/>
        <v>0</v>
      </c>
    </row>
    <row r="237" spans="1:28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s="1104" customFormat="1" ht="12.75" thickBot="1">
      <c r="A238" s="1103" t="s">
        <v>284</v>
      </c>
      <c r="F238" s="1105"/>
    </row>
    <row r="239" spans="1:28" s="143" customFormat="1">
      <c r="A239" s="1176" t="s">
        <v>4</v>
      </c>
      <c r="B239" s="1177" t="s">
        <v>91</v>
      </c>
      <c r="C239" s="1178">
        <f>+D239+E239+F239</f>
        <v>69</v>
      </c>
      <c r="D239" s="1179">
        <v>69</v>
      </c>
      <c r="E239" s="1180"/>
      <c r="F239" s="1181"/>
      <c r="H239" s="143">
        <f t="shared" si="16"/>
        <v>0</v>
      </c>
    </row>
    <row r="240" spans="1:28" s="140" customFormat="1">
      <c r="A240" s="1130" t="s">
        <v>351</v>
      </c>
      <c r="B240" s="1182" t="s">
        <v>352</v>
      </c>
      <c r="C240" s="1183">
        <f>+D240+E240+F240</f>
        <v>0</v>
      </c>
      <c r="D240" s="1184"/>
      <c r="E240" s="1185"/>
      <c r="F240" s="1186"/>
      <c r="H240" s="140">
        <f t="shared" si="16"/>
        <v>0</v>
      </c>
    </row>
    <row r="241" spans="1:8" s="143" customFormat="1" ht="12.75" thickBot="1">
      <c r="A241" s="1187" t="s">
        <v>5</v>
      </c>
      <c r="B241" s="1188" t="s">
        <v>92</v>
      </c>
      <c r="C241" s="1189">
        <f>+D241+E241+F241</f>
        <v>0</v>
      </c>
      <c r="D241" s="1190"/>
      <c r="E241" s="1191"/>
      <c r="F241" s="1192"/>
      <c r="H241" s="143">
        <f t="shared" si="16"/>
        <v>0</v>
      </c>
    </row>
    <row r="242" spans="1:8" s="143" customFormat="1" ht="12.75" thickBot="1">
      <c r="A242" s="1113" t="s">
        <v>6</v>
      </c>
      <c r="B242" s="1136" t="s">
        <v>330</v>
      </c>
      <c r="C242" s="1193">
        <f>+C239+C241</f>
        <v>69</v>
      </c>
      <c r="D242" s="1194">
        <f>+D239+D241</f>
        <v>69</v>
      </c>
      <c r="E242" s="1195">
        <f>+E239+E241</f>
        <v>0</v>
      </c>
      <c r="F242" s="1196">
        <f>+F239+F241</f>
        <v>0</v>
      </c>
      <c r="H242" s="143">
        <f t="shared" si="16"/>
        <v>0</v>
      </c>
    </row>
  </sheetData>
  <mergeCells count="9">
    <mergeCell ref="A211:F211"/>
    <mergeCell ref="A218:F218"/>
    <mergeCell ref="A237:F237"/>
    <mergeCell ref="A3:F3"/>
    <mergeCell ref="A4:F4"/>
    <mergeCell ref="A6:F6"/>
    <mergeCell ref="C9:F9"/>
    <mergeCell ref="A105:F105"/>
    <mergeCell ref="C108:F10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1.3. melléklet - &amp;P. oldal</oddHeader>
  </headerFooter>
  <rowBreaks count="1" manualBreakCount="1">
    <brk id="1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tabColor rgb="FF00B0F0"/>
  </sheetPr>
  <dimension ref="A1:AB242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6" width="9.28515625" style="141" customWidth="1"/>
    <col min="7" max="7" width="0" style="141" hidden="1" customWidth="1"/>
    <col min="8" max="8" width="9.140625" style="141" hidden="1" customWidth="1"/>
    <col min="9" max="16384" width="9.140625" style="141"/>
  </cols>
  <sheetData>
    <row r="1" spans="1:8" s="1100" customFormat="1" ht="15.75">
      <c r="F1" s="1101" t="s">
        <v>358</v>
      </c>
    </row>
    <row r="2" spans="1:8" s="1100" customFormat="1" ht="15.75"/>
    <row r="3" spans="1:8" s="1102" customFormat="1" ht="15.75">
      <c r="A3" s="1441" t="s">
        <v>359</v>
      </c>
      <c r="B3" s="1441"/>
      <c r="C3" s="1441"/>
      <c r="D3" s="1441"/>
      <c r="E3" s="1441"/>
      <c r="F3" s="1441"/>
    </row>
    <row r="4" spans="1:8" s="1102" customFormat="1" ht="15.75">
      <c r="A4" s="1441" t="s">
        <v>1319</v>
      </c>
      <c r="B4" s="1441"/>
      <c r="C4" s="1441"/>
      <c r="D4" s="1441"/>
      <c r="E4" s="1441"/>
      <c r="F4" s="1441"/>
    </row>
    <row r="5" spans="1:8" s="1100" customFormat="1" ht="15.75"/>
    <row r="6" spans="1:8" s="1102" customFormat="1" ht="15.75">
      <c r="A6" s="1441" t="s">
        <v>48</v>
      </c>
      <c r="B6" s="1441"/>
      <c r="C6" s="1441"/>
      <c r="D6" s="1441"/>
      <c r="E6" s="1441"/>
      <c r="F6" s="1441"/>
    </row>
    <row r="7" spans="1:8" s="1104" customFormat="1" ht="12.75" thickBot="1">
      <c r="A7" s="1103" t="s">
        <v>280</v>
      </c>
      <c r="F7" s="1105" t="s">
        <v>281</v>
      </c>
    </row>
    <row r="8" spans="1:8" s="1112" customFormat="1" ht="54" customHeight="1" thickBot="1">
      <c r="A8" s="1106" t="s">
        <v>17</v>
      </c>
      <c r="B8" s="1107" t="s">
        <v>328</v>
      </c>
      <c r="C8" s="1108" t="s">
        <v>1317</v>
      </c>
      <c r="D8" s="1109" t="s">
        <v>51</v>
      </c>
      <c r="E8" s="1110" t="s">
        <v>52</v>
      </c>
      <c r="F8" s="1111" t="s">
        <v>53</v>
      </c>
    </row>
    <row r="9" spans="1:8" s="143" customFormat="1" ht="12.75" thickBot="1">
      <c r="A9" s="1113" t="s">
        <v>253</v>
      </c>
      <c r="B9" s="1114" t="s">
        <v>254</v>
      </c>
      <c r="C9" s="1442" t="s">
        <v>255</v>
      </c>
      <c r="D9" s="1443"/>
      <c r="E9" s="1443"/>
      <c r="F9" s="1444"/>
    </row>
    <row r="10" spans="1:8" s="143" customFormat="1" ht="12.75" thickBot="1">
      <c r="A10" s="1115" t="s">
        <v>4</v>
      </c>
      <c r="B10" s="1116" t="s">
        <v>297</v>
      </c>
      <c r="C10" s="1117">
        <f>+C11+C25+C32+C44</f>
        <v>500</v>
      </c>
      <c r="D10" s="1118">
        <f>+D11+D25+D32+D44</f>
        <v>500</v>
      </c>
      <c r="E10" s="1119">
        <f>+E11+E25+E32+E44</f>
        <v>0</v>
      </c>
      <c r="F10" s="1120">
        <f>+F11+F25+F32+F44</f>
        <v>0</v>
      </c>
      <c r="H10" s="143">
        <f>+C10-D10-E10-F10</f>
        <v>0</v>
      </c>
    </row>
    <row r="11" spans="1:8" s="143" customFormat="1" ht="12.75" customHeight="1" thickBot="1">
      <c r="A11" s="1113" t="s">
        <v>5</v>
      </c>
      <c r="B11" s="1121" t="s">
        <v>298</v>
      </c>
      <c r="C11" s="130">
        <f>+C12+C19+C20+C21+C22+C23</f>
        <v>0</v>
      </c>
      <c r="D11" s="131">
        <f>+D12+D19+D20+D21+D22+D23</f>
        <v>0</v>
      </c>
      <c r="E11" s="132">
        <f>+E12+E19+E20+E21+E22+E23</f>
        <v>0</v>
      </c>
      <c r="F11" s="133">
        <f>+F12+F19+F20+F21+F22+F23</f>
        <v>0</v>
      </c>
      <c r="H11" s="143">
        <f t="shared" ref="H11:H74" si="0">+C11-D11-E11-F11</f>
        <v>0</v>
      </c>
    </row>
    <row r="12" spans="1:8" s="143" customFormat="1">
      <c r="A12" s="1122" t="s">
        <v>54</v>
      </c>
      <c r="B12" s="135" t="s">
        <v>299</v>
      </c>
      <c r="C12" s="136">
        <f>+C13+C14+C15+C16+C17+C18</f>
        <v>0</v>
      </c>
      <c r="D12" s="1123">
        <f>+D13+D14+D15+D16+D17+D18</f>
        <v>0</v>
      </c>
      <c r="E12" s="1124">
        <f>+E13+E14+E15+E16+E17+E18</f>
        <v>0</v>
      </c>
      <c r="F12" s="1125">
        <f>+F13+F14+F15+F16+F17+F18</f>
        <v>0</v>
      </c>
      <c r="H12" s="141">
        <f t="shared" si="0"/>
        <v>0</v>
      </c>
    </row>
    <row r="13" spans="1:8" s="140" customFormat="1">
      <c r="A13" s="127" t="s">
        <v>190</v>
      </c>
      <c r="B13" s="128" t="s">
        <v>93</v>
      </c>
      <c r="C13" s="134">
        <f>+D13+E13+F13</f>
        <v>0</v>
      </c>
      <c r="D13" s="769"/>
      <c r="E13" s="770"/>
      <c r="F13" s="771"/>
      <c r="H13" s="140">
        <f t="shared" si="0"/>
        <v>0</v>
      </c>
    </row>
    <row r="14" spans="1:8" s="140" customFormat="1">
      <c r="A14" s="127" t="s">
        <v>191</v>
      </c>
      <c r="B14" s="128" t="s">
        <v>94</v>
      </c>
      <c r="C14" s="134">
        <f t="shared" ref="C14:C24" si="1">+D14+E14+F14</f>
        <v>0</v>
      </c>
      <c r="D14" s="769"/>
      <c r="E14" s="770"/>
      <c r="F14" s="771"/>
      <c r="H14" s="140">
        <f t="shared" si="0"/>
        <v>0</v>
      </c>
    </row>
    <row r="15" spans="1:8" s="140" customFormat="1">
      <c r="A15" s="127" t="s">
        <v>192</v>
      </c>
      <c r="B15" s="128" t="s">
        <v>95</v>
      </c>
      <c r="C15" s="134">
        <f t="shared" si="1"/>
        <v>0</v>
      </c>
      <c r="D15" s="769"/>
      <c r="E15" s="770"/>
      <c r="F15" s="771"/>
      <c r="H15" s="140">
        <f t="shared" si="0"/>
        <v>0</v>
      </c>
    </row>
    <row r="16" spans="1:8" s="140" customFormat="1">
      <c r="A16" s="127" t="s">
        <v>193</v>
      </c>
      <c r="B16" s="128" t="s">
        <v>96</v>
      </c>
      <c r="C16" s="134">
        <f t="shared" si="1"/>
        <v>0</v>
      </c>
      <c r="D16" s="769"/>
      <c r="E16" s="770"/>
      <c r="F16" s="771"/>
      <c r="H16" s="140">
        <f t="shared" si="0"/>
        <v>0</v>
      </c>
    </row>
    <row r="17" spans="1:8" s="140" customFormat="1">
      <c r="A17" s="127" t="s">
        <v>194</v>
      </c>
      <c r="B17" s="128" t="s">
        <v>905</v>
      </c>
      <c r="C17" s="134">
        <f t="shared" si="1"/>
        <v>0</v>
      </c>
      <c r="D17" s="769"/>
      <c r="E17" s="770"/>
      <c r="F17" s="771"/>
      <c r="H17" s="140">
        <f t="shared" si="0"/>
        <v>0</v>
      </c>
    </row>
    <row r="18" spans="1:8" s="140" customFormat="1">
      <c r="A18" s="127" t="s">
        <v>195</v>
      </c>
      <c r="B18" s="128" t="s">
        <v>906</v>
      </c>
      <c r="C18" s="134">
        <f t="shared" si="1"/>
        <v>0</v>
      </c>
      <c r="D18" s="769"/>
      <c r="E18" s="770"/>
      <c r="F18" s="771"/>
      <c r="H18" s="140">
        <f t="shared" si="0"/>
        <v>0</v>
      </c>
    </row>
    <row r="19" spans="1:8">
      <c r="A19" s="1126" t="s">
        <v>55</v>
      </c>
      <c r="B19" s="1127" t="s">
        <v>97</v>
      </c>
      <c r="C19" s="129">
        <f t="shared" si="1"/>
        <v>0</v>
      </c>
      <c r="D19" s="1094"/>
      <c r="E19" s="1095"/>
      <c r="F19" s="1096"/>
      <c r="H19" s="141">
        <f t="shared" si="0"/>
        <v>0</v>
      </c>
    </row>
    <row r="20" spans="1:8">
      <c r="A20" s="1126" t="s">
        <v>83</v>
      </c>
      <c r="B20" s="1127" t="s">
        <v>98</v>
      </c>
      <c r="C20" s="129">
        <f t="shared" si="1"/>
        <v>0</v>
      </c>
      <c r="D20" s="1094"/>
      <c r="E20" s="1095"/>
      <c r="F20" s="1096"/>
      <c r="H20" s="141">
        <f t="shared" si="0"/>
        <v>0</v>
      </c>
    </row>
    <row r="21" spans="1:8">
      <c r="A21" s="1126" t="s">
        <v>84</v>
      </c>
      <c r="B21" s="1127" t="s">
        <v>99</v>
      </c>
      <c r="C21" s="129">
        <f t="shared" si="1"/>
        <v>0</v>
      </c>
      <c r="D21" s="1094"/>
      <c r="E21" s="1095"/>
      <c r="F21" s="1096"/>
      <c r="H21" s="141">
        <f t="shared" si="0"/>
        <v>0</v>
      </c>
    </row>
    <row r="22" spans="1:8">
      <c r="A22" s="1126" t="s">
        <v>85</v>
      </c>
      <c r="B22" s="1127" t="s">
        <v>100</v>
      </c>
      <c r="C22" s="129">
        <f t="shared" si="1"/>
        <v>0</v>
      </c>
      <c r="D22" s="1094"/>
      <c r="E22" s="1095"/>
      <c r="F22" s="1096"/>
      <c r="H22" s="141">
        <f t="shared" si="0"/>
        <v>0</v>
      </c>
    </row>
    <row r="23" spans="1:8">
      <c r="A23" s="1128" t="s">
        <v>86</v>
      </c>
      <c r="B23" s="1129" t="s">
        <v>101</v>
      </c>
      <c r="C23" s="142">
        <f t="shared" si="1"/>
        <v>0</v>
      </c>
      <c r="D23" s="1097"/>
      <c r="E23" s="1098"/>
      <c r="F23" s="1099"/>
      <c r="H23" s="141">
        <f t="shared" si="0"/>
        <v>0</v>
      </c>
    </row>
    <row r="24" spans="1:8" s="140" customFormat="1" ht="12.75" thickBot="1">
      <c r="A24" s="1130" t="s">
        <v>332</v>
      </c>
      <c r="B24" s="1131" t="s">
        <v>333</v>
      </c>
      <c r="C24" s="1132">
        <f t="shared" si="1"/>
        <v>0</v>
      </c>
      <c r="D24" s="1133"/>
      <c r="E24" s="1134"/>
      <c r="F24" s="1135"/>
      <c r="H24" s="140">
        <f t="shared" si="0"/>
        <v>0</v>
      </c>
    </row>
    <row r="25" spans="1:8" s="143" customFormat="1" ht="12.75" customHeight="1" thickBot="1">
      <c r="A25" s="1113" t="s">
        <v>6</v>
      </c>
      <c r="B25" s="1121" t="s">
        <v>787</v>
      </c>
      <c r="C25" s="130">
        <f>+C26+C27+C28+C29+C30+C31</f>
        <v>0</v>
      </c>
      <c r="D25" s="131">
        <f>+D26+D27+D28+D29+D30+D31</f>
        <v>0</v>
      </c>
      <c r="E25" s="132">
        <f>+E26+E27+E28+E29+E30+E31</f>
        <v>0</v>
      </c>
      <c r="F25" s="133">
        <f>+F26+F27+F28+F29+F30+F31</f>
        <v>0</v>
      </c>
      <c r="H25" s="143">
        <f t="shared" si="0"/>
        <v>0</v>
      </c>
    </row>
    <row r="26" spans="1:8" ht="12.75" customHeight="1">
      <c r="A26" s="1122" t="s">
        <v>58</v>
      </c>
      <c r="B26" s="135" t="s">
        <v>102</v>
      </c>
      <c r="C26" s="136">
        <f t="shared" ref="C26:C31" si="2">+D26+E26+F26</f>
        <v>0</v>
      </c>
      <c r="D26" s="137"/>
      <c r="E26" s="138"/>
      <c r="F26" s="139"/>
      <c r="H26" s="141">
        <f t="shared" si="0"/>
        <v>0</v>
      </c>
    </row>
    <row r="27" spans="1:8" ht="12.75" customHeight="1">
      <c r="A27" s="1126" t="s">
        <v>59</v>
      </c>
      <c r="B27" s="1127" t="s">
        <v>103</v>
      </c>
      <c r="C27" s="129">
        <f t="shared" si="2"/>
        <v>0</v>
      </c>
      <c r="D27" s="1094"/>
      <c r="E27" s="1095"/>
      <c r="F27" s="1096"/>
      <c r="H27" s="141">
        <f t="shared" si="0"/>
        <v>0</v>
      </c>
    </row>
    <row r="28" spans="1:8" ht="12.75" customHeight="1">
      <c r="A28" s="1126" t="s">
        <v>60</v>
      </c>
      <c r="B28" s="1127" t="s">
        <v>104</v>
      </c>
      <c r="C28" s="129">
        <f t="shared" si="2"/>
        <v>0</v>
      </c>
      <c r="D28" s="1094"/>
      <c r="E28" s="1095"/>
      <c r="F28" s="1096"/>
      <c r="H28" s="141">
        <f t="shared" si="0"/>
        <v>0</v>
      </c>
    </row>
    <row r="29" spans="1:8" ht="12.75" customHeight="1">
      <c r="A29" s="1126" t="s">
        <v>180</v>
      </c>
      <c r="B29" s="1127" t="s">
        <v>105</v>
      </c>
      <c r="C29" s="129">
        <f t="shared" si="2"/>
        <v>0</v>
      </c>
      <c r="D29" s="1094"/>
      <c r="E29" s="1095"/>
      <c r="F29" s="1096"/>
      <c r="H29" s="141">
        <f t="shared" si="0"/>
        <v>0</v>
      </c>
    </row>
    <row r="30" spans="1:8" ht="12.75" customHeight="1">
      <c r="A30" s="1128" t="s">
        <v>181</v>
      </c>
      <c r="B30" s="1129" t="s">
        <v>106</v>
      </c>
      <c r="C30" s="142">
        <f t="shared" si="2"/>
        <v>0</v>
      </c>
      <c r="D30" s="1094"/>
      <c r="E30" s="1095"/>
      <c r="F30" s="1096"/>
      <c r="H30" s="141">
        <f t="shared" si="0"/>
        <v>0</v>
      </c>
    </row>
    <row r="31" spans="1:8" ht="12.75" customHeight="1" thickBot="1">
      <c r="A31" s="1128" t="s">
        <v>786</v>
      </c>
      <c r="B31" s="1129" t="s">
        <v>788</v>
      </c>
      <c r="C31" s="142">
        <f t="shared" si="2"/>
        <v>0</v>
      </c>
      <c r="D31" s="1094"/>
      <c r="E31" s="1095"/>
      <c r="F31" s="1096"/>
      <c r="H31" s="141">
        <f t="shared" si="0"/>
        <v>0</v>
      </c>
    </row>
    <row r="32" spans="1:8" s="143" customFormat="1" ht="12.75" customHeight="1" thickBot="1">
      <c r="A32" s="1113" t="s">
        <v>3</v>
      </c>
      <c r="B32" s="1121" t="s">
        <v>981</v>
      </c>
      <c r="C32" s="130">
        <f>+C33+C34+C35+C36+C37+C38+C39+C40+C41+C42+C43</f>
        <v>500</v>
      </c>
      <c r="D32" s="131">
        <f>+D33+D34+D35+D36+D37+D38+D39+D40+D41+D42+D43</f>
        <v>500</v>
      </c>
      <c r="E32" s="132">
        <f>+E33+E34+E35+E36+E37+E38+E39+E40+E41+E42+E43</f>
        <v>0</v>
      </c>
      <c r="F32" s="133">
        <f>+F33+F34+F35+F36+F37+F38+F39+F40+F41+F42+F43</f>
        <v>0</v>
      </c>
      <c r="H32" s="143">
        <f t="shared" si="0"/>
        <v>0</v>
      </c>
    </row>
    <row r="33" spans="1:8" ht="12.75" customHeight="1">
      <c r="A33" s="1122" t="s">
        <v>61</v>
      </c>
      <c r="B33" s="135" t="s">
        <v>107</v>
      </c>
      <c r="C33" s="136">
        <f t="shared" ref="C33:C43" si="3">+D33+E33+F33</f>
        <v>0</v>
      </c>
      <c r="D33" s="137"/>
      <c r="E33" s="138"/>
      <c r="F33" s="139"/>
      <c r="H33" s="141">
        <f t="shared" si="0"/>
        <v>0</v>
      </c>
    </row>
    <row r="34" spans="1:8" ht="12.75" customHeight="1">
      <c r="A34" s="1126" t="s">
        <v>62</v>
      </c>
      <c r="B34" s="1127" t="s">
        <v>108</v>
      </c>
      <c r="C34" s="129">
        <f t="shared" si="3"/>
        <v>500</v>
      </c>
      <c r="D34" s="1094">
        <v>500</v>
      </c>
      <c r="E34" s="1095"/>
      <c r="F34" s="1096"/>
      <c r="H34" s="141">
        <f t="shared" si="0"/>
        <v>0</v>
      </c>
    </row>
    <row r="35" spans="1:8" ht="12.75" customHeight="1">
      <c r="A35" s="1126" t="s">
        <v>63</v>
      </c>
      <c r="B35" s="1127" t="s">
        <v>109</v>
      </c>
      <c r="C35" s="129">
        <f t="shared" si="3"/>
        <v>0</v>
      </c>
      <c r="D35" s="1094"/>
      <c r="E35" s="1095"/>
      <c r="F35" s="1096"/>
      <c r="H35" s="141">
        <f t="shared" si="0"/>
        <v>0</v>
      </c>
    </row>
    <row r="36" spans="1:8" ht="12.75" customHeight="1">
      <c r="A36" s="1126" t="s">
        <v>64</v>
      </c>
      <c r="B36" s="1127" t="s">
        <v>110</v>
      </c>
      <c r="C36" s="129">
        <f t="shared" si="3"/>
        <v>0</v>
      </c>
      <c r="D36" s="1094"/>
      <c r="E36" s="1095"/>
      <c r="F36" s="1096"/>
      <c r="H36" s="141">
        <f t="shared" si="0"/>
        <v>0</v>
      </c>
    </row>
    <row r="37" spans="1:8" ht="12.75" customHeight="1">
      <c r="A37" s="1126" t="s">
        <v>65</v>
      </c>
      <c r="B37" s="1127" t="s">
        <v>111</v>
      </c>
      <c r="C37" s="129">
        <f t="shared" si="3"/>
        <v>0</v>
      </c>
      <c r="D37" s="1094"/>
      <c r="E37" s="1095"/>
      <c r="F37" s="1096"/>
      <c r="H37" s="141">
        <f t="shared" si="0"/>
        <v>0</v>
      </c>
    </row>
    <row r="38" spans="1:8" ht="12.75" customHeight="1">
      <c r="A38" s="1126" t="s">
        <v>222</v>
      </c>
      <c r="B38" s="1127" t="s">
        <v>112</v>
      </c>
      <c r="C38" s="129">
        <f t="shared" si="3"/>
        <v>0</v>
      </c>
      <c r="D38" s="1094"/>
      <c r="E38" s="1095"/>
      <c r="F38" s="1096"/>
      <c r="H38" s="141">
        <f t="shared" si="0"/>
        <v>0</v>
      </c>
    </row>
    <row r="39" spans="1:8" ht="12.75" customHeight="1">
      <c r="A39" s="1126" t="s">
        <v>223</v>
      </c>
      <c r="B39" s="1127" t="s">
        <v>113</v>
      </c>
      <c r="C39" s="129">
        <f t="shared" si="3"/>
        <v>0</v>
      </c>
      <c r="D39" s="1094"/>
      <c r="E39" s="1095"/>
      <c r="F39" s="1096"/>
      <c r="H39" s="141">
        <f t="shared" si="0"/>
        <v>0</v>
      </c>
    </row>
    <row r="40" spans="1:8" ht="12.75" customHeight="1">
      <c r="A40" s="1126" t="s">
        <v>224</v>
      </c>
      <c r="B40" s="1127" t="s">
        <v>991</v>
      </c>
      <c r="C40" s="129">
        <f t="shared" si="3"/>
        <v>0</v>
      </c>
      <c r="D40" s="1094"/>
      <c r="E40" s="1095"/>
      <c r="F40" s="1096"/>
      <c r="H40" s="141">
        <f t="shared" si="0"/>
        <v>0</v>
      </c>
    </row>
    <row r="41" spans="1:8" ht="12.75" customHeight="1">
      <c r="A41" s="1126" t="s">
        <v>225</v>
      </c>
      <c r="B41" s="1127" t="s">
        <v>114</v>
      </c>
      <c r="C41" s="129">
        <f t="shared" si="3"/>
        <v>0</v>
      </c>
      <c r="D41" s="1094"/>
      <c r="E41" s="1095"/>
      <c r="F41" s="1096"/>
      <c r="H41" s="141">
        <f t="shared" si="0"/>
        <v>0</v>
      </c>
    </row>
    <row r="42" spans="1:8" ht="12.75" customHeight="1">
      <c r="A42" s="1128" t="s">
        <v>226</v>
      </c>
      <c r="B42" s="1129" t="s">
        <v>908</v>
      </c>
      <c r="C42" s="129">
        <f>+D42+E42+F42</f>
        <v>0</v>
      </c>
      <c r="D42" s="1094"/>
      <c r="E42" s="1095"/>
      <c r="F42" s="1096"/>
      <c r="H42" s="141">
        <f t="shared" si="0"/>
        <v>0</v>
      </c>
    </row>
    <row r="43" spans="1:8" ht="12.75" customHeight="1" thickBot="1">
      <c r="A43" s="1128" t="s">
        <v>907</v>
      </c>
      <c r="B43" s="1129" t="s">
        <v>909</v>
      </c>
      <c r="C43" s="142">
        <f t="shared" si="3"/>
        <v>0</v>
      </c>
      <c r="D43" s="1097"/>
      <c r="E43" s="1098"/>
      <c r="F43" s="1099"/>
      <c r="H43" s="141">
        <f t="shared" si="0"/>
        <v>0</v>
      </c>
    </row>
    <row r="44" spans="1:8" s="143" customFormat="1" ht="12.75" thickBot="1">
      <c r="A44" s="1113" t="s">
        <v>16</v>
      </c>
      <c r="B44" s="1121" t="s">
        <v>982</v>
      </c>
      <c r="C44" s="130">
        <f>+C45+C46+C47+C48+C49</f>
        <v>0</v>
      </c>
      <c r="D44" s="131">
        <f>+D45+D46+D47+D48+D49</f>
        <v>0</v>
      </c>
      <c r="E44" s="132">
        <f>+E45+E46+E47+E48+E49</f>
        <v>0</v>
      </c>
      <c r="F44" s="133">
        <f>+F45+F46+F47+F48+F49</f>
        <v>0</v>
      </c>
      <c r="H44" s="143">
        <f t="shared" si="0"/>
        <v>0</v>
      </c>
    </row>
    <row r="45" spans="1:8" ht="12.75" customHeight="1">
      <c r="A45" s="1122" t="s">
        <v>227</v>
      </c>
      <c r="B45" s="135" t="s">
        <v>115</v>
      </c>
      <c r="C45" s="136">
        <f>+D45+E45+F45</f>
        <v>0</v>
      </c>
      <c r="D45" s="137"/>
      <c r="E45" s="138"/>
      <c r="F45" s="139"/>
      <c r="H45" s="141">
        <f t="shared" si="0"/>
        <v>0</v>
      </c>
    </row>
    <row r="46" spans="1:8" ht="12.75" customHeight="1">
      <c r="A46" s="1122" t="s">
        <v>228</v>
      </c>
      <c r="B46" s="135" t="s">
        <v>910</v>
      </c>
      <c r="C46" s="136">
        <f>+D46+E46+F46</f>
        <v>0</v>
      </c>
      <c r="D46" s="137"/>
      <c r="E46" s="138"/>
      <c r="F46" s="139"/>
      <c r="H46" s="141">
        <f t="shared" si="0"/>
        <v>0</v>
      </c>
    </row>
    <row r="47" spans="1:8" ht="12.75" customHeight="1">
      <c r="A47" s="1122" t="s">
        <v>229</v>
      </c>
      <c r="B47" s="135" t="s">
        <v>911</v>
      </c>
      <c r="C47" s="136">
        <f>+D47+E47+F47</f>
        <v>0</v>
      </c>
      <c r="D47" s="137"/>
      <c r="E47" s="138"/>
      <c r="F47" s="139"/>
      <c r="H47" s="141">
        <f t="shared" si="0"/>
        <v>0</v>
      </c>
    </row>
    <row r="48" spans="1:8" ht="12.75" customHeight="1">
      <c r="A48" s="1126" t="s">
        <v>257</v>
      </c>
      <c r="B48" s="1127" t="s">
        <v>912</v>
      </c>
      <c r="C48" s="129">
        <f>+D48+E48+F48</f>
        <v>0</v>
      </c>
      <c r="D48" s="1094"/>
      <c r="E48" s="1095"/>
      <c r="F48" s="1096"/>
      <c r="H48" s="141">
        <f t="shared" si="0"/>
        <v>0</v>
      </c>
    </row>
    <row r="49" spans="1:8" ht="12.75" customHeight="1" thickBot="1">
      <c r="A49" s="1128" t="s">
        <v>258</v>
      </c>
      <c r="B49" s="1129" t="s">
        <v>913</v>
      </c>
      <c r="C49" s="142">
        <f>+D49+E49+F49</f>
        <v>0</v>
      </c>
      <c r="D49" s="1097"/>
      <c r="E49" s="1098"/>
      <c r="F49" s="1099"/>
      <c r="H49" s="141">
        <f t="shared" si="0"/>
        <v>0</v>
      </c>
    </row>
    <row r="50" spans="1:8" s="143" customFormat="1" ht="12.75" thickBot="1">
      <c r="A50" s="1113" t="s">
        <v>15</v>
      </c>
      <c r="B50" s="1136" t="s">
        <v>300</v>
      </c>
      <c r="C50" s="130">
        <f>+C51+C58+C64</f>
        <v>0</v>
      </c>
      <c r="D50" s="131">
        <f>+D51+D58+D64</f>
        <v>0</v>
      </c>
      <c r="E50" s="132">
        <f>+E51+E58+E64</f>
        <v>0</v>
      </c>
      <c r="F50" s="133">
        <f>+F51+F58+F64</f>
        <v>0</v>
      </c>
      <c r="H50" s="143">
        <f t="shared" si="0"/>
        <v>0</v>
      </c>
    </row>
    <row r="51" spans="1:8" s="143" customFormat="1" ht="12.75" customHeight="1" thickBot="1">
      <c r="A51" s="1113" t="s">
        <v>14</v>
      </c>
      <c r="B51" s="1121" t="s">
        <v>301</v>
      </c>
      <c r="C51" s="130">
        <f>+C52+C53+C54+C55+C56</f>
        <v>0</v>
      </c>
      <c r="D51" s="131">
        <f>+D52+D53+D54+D55+D56</f>
        <v>0</v>
      </c>
      <c r="E51" s="132">
        <f>+E52+E53+E54+E55+E56</f>
        <v>0</v>
      </c>
      <c r="F51" s="133">
        <f>+F52+F53+F54+F55+F56</f>
        <v>0</v>
      </c>
      <c r="H51" s="143">
        <f t="shared" si="0"/>
        <v>0</v>
      </c>
    </row>
    <row r="52" spans="1:8">
      <c r="A52" s="1122" t="s">
        <v>185</v>
      </c>
      <c r="B52" s="135" t="s">
        <v>116</v>
      </c>
      <c r="C52" s="136">
        <f t="shared" ref="C52:C57" si="4">+D52+E52+F52</f>
        <v>0</v>
      </c>
      <c r="D52" s="137"/>
      <c r="E52" s="138"/>
      <c r="F52" s="139"/>
      <c r="H52" s="141">
        <f t="shared" si="0"/>
        <v>0</v>
      </c>
    </row>
    <row r="53" spans="1:8">
      <c r="A53" s="1126" t="s">
        <v>186</v>
      </c>
      <c r="B53" s="1127" t="s">
        <v>117</v>
      </c>
      <c r="C53" s="129">
        <f t="shared" si="4"/>
        <v>0</v>
      </c>
      <c r="D53" s="1094"/>
      <c r="E53" s="1095"/>
      <c r="F53" s="1096"/>
      <c r="H53" s="141">
        <f t="shared" si="0"/>
        <v>0</v>
      </c>
    </row>
    <row r="54" spans="1:8">
      <c r="A54" s="1126" t="s">
        <v>187</v>
      </c>
      <c r="B54" s="1127" t="s">
        <v>118</v>
      </c>
      <c r="C54" s="129">
        <f t="shared" si="4"/>
        <v>0</v>
      </c>
      <c r="D54" s="1094"/>
      <c r="E54" s="1095"/>
      <c r="F54" s="1096"/>
      <c r="H54" s="141">
        <f t="shared" si="0"/>
        <v>0</v>
      </c>
    </row>
    <row r="55" spans="1:8">
      <c r="A55" s="1126" t="s">
        <v>188</v>
      </c>
      <c r="B55" s="1127" t="s">
        <v>119</v>
      </c>
      <c r="C55" s="129">
        <f t="shared" si="4"/>
        <v>0</v>
      </c>
      <c r="D55" s="1094"/>
      <c r="E55" s="1095"/>
      <c r="F55" s="1096"/>
      <c r="H55" s="141">
        <f t="shared" si="0"/>
        <v>0</v>
      </c>
    </row>
    <row r="56" spans="1:8">
      <c r="A56" s="1128" t="s">
        <v>189</v>
      </c>
      <c r="B56" s="1129" t="s">
        <v>120</v>
      </c>
      <c r="C56" s="142">
        <f t="shared" si="4"/>
        <v>0</v>
      </c>
      <c r="D56" s="1097"/>
      <c r="E56" s="1098"/>
      <c r="F56" s="1099"/>
      <c r="H56" s="141">
        <f t="shared" si="0"/>
        <v>0</v>
      </c>
    </row>
    <row r="57" spans="1:8" s="140" customFormat="1" ht="12.75" thickBot="1">
      <c r="A57" s="1130" t="s">
        <v>334</v>
      </c>
      <c r="B57" s="1131" t="s">
        <v>338</v>
      </c>
      <c r="C57" s="1132">
        <f t="shared" si="4"/>
        <v>0</v>
      </c>
      <c r="D57" s="1133"/>
      <c r="E57" s="1134"/>
      <c r="F57" s="1135"/>
      <c r="H57" s="140">
        <f t="shared" si="0"/>
        <v>0</v>
      </c>
    </row>
    <row r="58" spans="1:8" s="143" customFormat="1" ht="12.75" customHeight="1" thickBot="1">
      <c r="A58" s="1113" t="s">
        <v>13</v>
      </c>
      <c r="B58" s="1121" t="s">
        <v>302</v>
      </c>
      <c r="C58" s="130">
        <f>+C59+C60+C61+C62+C63</f>
        <v>0</v>
      </c>
      <c r="D58" s="131">
        <f>+D59+D60+D61+D62+D63</f>
        <v>0</v>
      </c>
      <c r="E58" s="132">
        <f>+E59+E60+E61+E62+E63</f>
        <v>0</v>
      </c>
      <c r="F58" s="133">
        <f>+F59+F60+F61+F62+F63</f>
        <v>0</v>
      </c>
      <c r="H58" s="143">
        <f t="shared" si="0"/>
        <v>0</v>
      </c>
    </row>
    <row r="59" spans="1:8" ht="12.75" customHeight="1">
      <c r="A59" s="1122" t="s">
        <v>66</v>
      </c>
      <c r="B59" s="135" t="s">
        <v>121</v>
      </c>
      <c r="C59" s="136">
        <f>+D59+E59+F59</f>
        <v>0</v>
      </c>
      <c r="D59" s="137"/>
      <c r="E59" s="138"/>
      <c r="F59" s="139"/>
      <c r="H59" s="141">
        <f t="shared" si="0"/>
        <v>0</v>
      </c>
    </row>
    <row r="60" spans="1:8" ht="12.75" customHeight="1">
      <c r="A60" s="1126" t="s">
        <v>67</v>
      </c>
      <c r="B60" s="1127" t="s">
        <v>122</v>
      </c>
      <c r="C60" s="129">
        <f>+D60+E60+F60</f>
        <v>0</v>
      </c>
      <c r="D60" s="1094"/>
      <c r="E60" s="1095"/>
      <c r="F60" s="1096"/>
      <c r="H60" s="141">
        <f t="shared" si="0"/>
        <v>0</v>
      </c>
    </row>
    <row r="61" spans="1:8" ht="12.75" customHeight="1">
      <c r="A61" s="1126" t="s">
        <v>68</v>
      </c>
      <c r="B61" s="1127" t="s">
        <v>123</v>
      </c>
      <c r="C61" s="129">
        <f>+D61+E61+F61</f>
        <v>0</v>
      </c>
      <c r="D61" s="1094"/>
      <c r="E61" s="1095"/>
      <c r="F61" s="1096"/>
      <c r="H61" s="141">
        <f t="shared" si="0"/>
        <v>0</v>
      </c>
    </row>
    <row r="62" spans="1:8" ht="12.75" customHeight="1">
      <c r="A62" s="1126" t="s">
        <v>230</v>
      </c>
      <c r="B62" s="1127" t="s">
        <v>124</v>
      </c>
      <c r="C62" s="129">
        <f>+D62+E62+F62</f>
        <v>0</v>
      </c>
      <c r="D62" s="1094"/>
      <c r="E62" s="1095"/>
      <c r="F62" s="1096"/>
      <c r="H62" s="141">
        <f t="shared" si="0"/>
        <v>0</v>
      </c>
    </row>
    <row r="63" spans="1:8" ht="12.75" customHeight="1" thickBot="1">
      <c r="A63" s="1128" t="s">
        <v>231</v>
      </c>
      <c r="B63" s="1129" t="s">
        <v>125</v>
      </c>
      <c r="C63" s="142">
        <f>+D63+E63+F63</f>
        <v>0</v>
      </c>
      <c r="D63" s="1097"/>
      <c r="E63" s="1098"/>
      <c r="F63" s="1099"/>
      <c r="H63" s="141">
        <f t="shared" si="0"/>
        <v>0</v>
      </c>
    </row>
    <row r="64" spans="1:8" s="143" customFormat="1" ht="12.75" thickBot="1">
      <c r="A64" s="1113" t="s">
        <v>12</v>
      </c>
      <c r="B64" s="1121" t="s">
        <v>917</v>
      </c>
      <c r="C64" s="130">
        <f>+C65+C66+C67+C68+C69</f>
        <v>0</v>
      </c>
      <c r="D64" s="131">
        <f>+D65+D66+D67+D68+D69</f>
        <v>0</v>
      </c>
      <c r="E64" s="132">
        <f>+E65+E66+E67+E68+E69</f>
        <v>0</v>
      </c>
      <c r="F64" s="133">
        <f>+F65+F66+F67+F68+F69</f>
        <v>0</v>
      </c>
      <c r="H64" s="143">
        <f t="shared" si="0"/>
        <v>0</v>
      </c>
    </row>
    <row r="65" spans="1:8">
      <c r="A65" s="1122" t="s">
        <v>69</v>
      </c>
      <c r="B65" s="135" t="s">
        <v>126</v>
      </c>
      <c r="C65" s="136">
        <f>+D65+E65+F65</f>
        <v>0</v>
      </c>
      <c r="D65" s="137"/>
      <c r="E65" s="138"/>
      <c r="F65" s="139"/>
      <c r="H65" s="141">
        <f t="shared" si="0"/>
        <v>0</v>
      </c>
    </row>
    <row r="66" spans="1:8">
      <c r="A66" s="1122" t="s">
        <v>70</v>
      </c>
      <c r="B66" s="135" t="s">
        <v>918</v>
      </c>
      <c r="C66" s="136">
        <f>+D66+E66+F66</f>
        <v>0</v>
      </c>
      <c r="D66" s="137"/>
      <c r="E66" s="138"/>
      <c r="F66" s="139"/>
      <c r="H66" s="141">
        <f t="shared" si="0"/>
        <v>0</v>
      </c>
    </row>
    <row r="67" spans="1:8">
      <c r="A67" s="1122" t="s">
        <v>71</v>
      </c>
      <c r="B67" s="135" t="s">
        <v>919</v>
      </c>
      <c r="C67" s="136">
        <f>+D67+E67+F67</f>
        <v>0</v>
      </c>
      <c r="D67" s="137"/>
      <c r="E67" s="138"/>
      <c r="F67" s="139"/>
      <c r="H67" s="141">
        <f t="shared" si="0"/>
        <v>0</v>
      </c>
    </row>
    <row r="68" spans="1:8">
      <c r="A68" s="1126" t="s">
        <v>72</v>
      </c>
      <c r="B68" s="1127" t="s">
        <v>915</v>
      </c>
      <c r="C68" s="129">
        <f>+D68+E68+F68</f>
        <v>0</v>
      </c>
      <c r="D68" s="1094"/>
      <c r="E68" s="1095"/>
      <c r="F68" s="1096"/>
      <c r="H68" s="141">
        <f t="shared" si="0"/>
        <v>0</v>
      </c>
    </row>
    <row r="69" spans="1:8" ht="12.75" thickBot="1">
      <c r="A69" s="1128" t="s">
        <v>914</v>
      </c>
      <c r="B69" s="1129" t="s">
        <v>916</v>
      </c>
      <c r="C69" s="142">
        <f>+D69+E69+F69</f>
        <v>0</v>
      </c>
      <c r="D69" s="1097"/>
      <c r="E69" s="1098"/>
      <c r="F69" s="1099"/>
      <c r="H69" s="141">
        <f t="shared" si="0"/>
        <v>0</v>
      </c>
    </row>
    <row r="70" spans="1:8" s="143" customFormat="1" ht="12.75" thickBot="1">
      <c r="A70" s="1113" t="s">
        <v>11</v>
      </c>
      <c r="B70" s="1136" t="s">
        <v>303</v>
      </c>
      <c r="C70" s="130">
        <f>+C10+C50</f>
        <v>500</v>
      </c>
      <c r="D70" s="131">
        <f>+D10+D50</f>
        <v>500</v>
      </c>
      <c r="E70" s="132">
        <f>+E10+E50</f>
        <v>0</v>
      </c>
      <c r="F70" s="133">
        <f>+F10+F50</f>
        <v>0</v>
      </c>
      <c r="H70" s="143">
        <f t="shared" si="0"/>
        <v>0</v>
      </c>
    </row>
    <row r="71" spans="1:8" s="143" customFormat="1" ht="12.75" thickBot="1">
      <c r="A71" s="1113" t="s">
        <v>10</v>
      </c>
      <c r="B71" s="1137" t="s">
        <v>304</v>
      </c>
      <c r="C71" s="130">
        <f>+C72</f>
        <v>42721</v>
      </c>
      <c r="D71" s="131">
        <f>+D72</f>
        <v>42721</v>
      </c>
      <c r="E71" s="132">
        <f>+E72</f>
        <v>0</v>
      </c>
      <c r="F71" s="133">
        <f>+F72</f>
        <v>0</v>
      </c>
      <c r="H71" s="143">
        <f t="shared" si="0"/>
        <v>0</v>
      </c>
    </row>
    <row r="72" spans="1:8" s="143" customFormat="1" ht="12.75" thickBot="1">
      <c r="A72" s="1113" t="s">
        <v>9</v>
      </c>
      <c r="B72" s="1121" t="s">
        <v>926</v>
      </c>
      <c r="C72" s="130">
        <f>+C73+C83+C84+C85</f>
        <v>42721</v>
      </c>
      <c r="D72" s="131">
        <f>+D73+D83+D84+D85</f>
        <v>42721</v>
      </c>
      <c r="E72" s="132">
        <f>+E73+E83+E84+E85</f>
        <v>0</v>
      </c>
      <c r="F72" s="133">
        <f>+F73+F83+F84+F85</f>
        <v>0</v>
      </c>
      <c r="H72" s="143">
        <f t="shared" si="0"/>
        <v>0</v>
      </c>
    </row>
    <row r="73" spans="1:8">
      <c r="A73" s="1122" t="s">
        <v>73</v>
      </c>
      <c r="B73" s="135" t="s">
        <v>921</v>
      </c>
      <c r="C73" s="136">
        <f>+C74+C75+C76+C77+C78+C79+C80+C81+C82</f>
        <v>42721</v>
      </c>
      <c r="D73" s="137">
        <f>+D74+D75+D76+D77+D78+D79+D80+D81+D82</f>
        <v>42721</v>
      </c>
      <c r="E73" s="138">
        <f>+E74+E75+E76+E77+E78+E79+E80+E81+E82</f>
        <v>0</v>
      </c>
      <c r="F73" s="139">
        <f>+F74+F75+F76+F77+F78+F79+F80+F81+F82</f>
        <v>0</v>
      </c>
      <c r="H73" s="141">
        <f t="shared" si="0"/>
        <v>0</v>
      </c>
    </row>
    <row r="74" spans="1:8" s="140" customFormat="1">
      <c r="A74" s="127" t="s">
        <v>196</v>
      </c>
      <c r="B74" s="128" t="s">
        <v>920</v>
      </c>
      <c r="C74" s="134">
        <f t="shared" ref="C74:C84" si="5">+D74+E74+F74</f>
        <v>0</v>
      </c>
      <c r="D74" s="769"/>
      <c r="E74" s="770"/>
      <c r="F74" s="771"/>
      <c r="H74" s="140">
        <f t="shared" si="0"/>
        <v>0</v>
      </c>
    </row>
    <row r="75" spans="1:8" s="140" customFormat="1">
      <c r="A75" s="127" t="s">
        <v>197</v>
      </c>
      <c r="B75" s="128" t="s">
        <v>247</v>
      </c>
      <c r="C75" s="134">
        <f t="shared" si="5"/>
        <v>0</v>
      </c>
      <c r="D75" s="769"/>
      <c r="E75" s="770"/>
      <c r="F75" s="771"/>
      <c r="H75" s="140">
        <f t="shared" ref="H75:H138" si="6">+C75-D75-E75-F75</f>
        <v>0</v>
      </c>
    </row>
    <row r="76" spans="1:8" s="140" customFormat="1">
      <c r="A76" s="127" t="s">
        <v>198</v>
      </c>
      <c r="B76" s="128" t="s">
        <v>248</v>
      </c>
      <c r="C76" s="134">
        <f t="shared" si="5"/>
        <v>0</v>
      </c>
      <c r="D76" s="769"/>
      <c r="E76" s="770"/>
      <c r="F76" s="771"/>
      <c r="H76" s="140">
        <f t="shared" si="6"/>
        <v>0</v>
      </c>
    </row>
    <row r="77" spans="1:8" s="140" customFormat="1">
      <c r="A77" s="127" t="s">
        <v>199</v>
      </c>
      <c r="B77" s="128" t="s">
        <v>249</v>
      </c>
      <c r="C77" s="134">
        <f t="shared" si="5"/>
        <v>0</v>
      </c>
      <c r="D77" s="769"/>
      <c r="E77" s="770"/>
      <c r="F77" s="771"/>
      <c r="H77" s="140">
        <f t="shared" si="6"/>
        <v>0</v>
      </c>
    </row>
    <row r="78" spans="1:8" s="140" customFormat="1">
      <c r="A78" s="127" t="s">
        <v>200</v>
      </c>
      <c r="B78" s="128" t="s">
        <v>250</v>
      </c>
      <c r="C78" s="134">
        <f t="shared" si="5"/>
        <v>0</v>
      </c>
      <c r="D78" s="769"/>
      <c r="E78" s="770"/>
      <c r="F78" s="771"/>
      <c r="H78" s="140">
        <f t="shared" si="6"/>
        <v>0</v>
      </c>
    </row>
    <row r="79" spans="1:8" s="140" customFormat="1">
      <c r="A79" s="127" t="s">
        <v>201</v>
      </c>
      <c r="B79" s="128" t="s">
        <v>251</v>
      </c>
      <c r="C79" s="134">
        <f t="shared" si="5"/>
        <v>42721</v>
      </c>
      <c r="D79" s="769">
        <f>+D109-D10+D178-D74-D75-D76-D77-D78-D80-D81-D83-D84-D85</f>
        <v>42721</v>
      </c>
      <c r="E79" s="770">
        <f>+E109-E10+E178-E74-E75-E76-E77-E78-E80-E81-E83-E84-E85</f>
        <v>0</v>
      </c>
      <c r="F79" s="771">
        <f>+F109-F10+F178-F74-F75-F76-F77-F78-F80-F81-F83-F84-F85</f>
        <v>0</v>
      </c>
      <c r="H79" s="140">
        <f t="shared" si="6"/>
        <v>0</v>
      </c>
    </row>
    <row r="80" spans="1:8" s="140" customFormat="1">
      <c r="A80" s="127" t="s">
        <v>204</v>
      </c>
      <c r="B80" s="128" t="s">
        <v>252</v>
      </c>
      <c r="C80" s="134">
        <f t="shared" si="5"/>
        <v>0</v>
      </c>
      <c r="D80" s="769"/>
      <c r="E80" s="770"/>
      <c r="F80" s="771"/>
      <c r="H80" s="140">
        <f t="shared" si="6"/>
        <v>0</v>
      </c>
    </row>
    <row r="81" spans="1:8" s="140" customFormat="1">
      <c r="A81" s="127" t="s">
        <v>202</v>
      </c>
      <c r="B81" s="128" t="s">
        <v>245</v>
      </c>
      <c r="C81" s="134">
        <f t="shared" si="5"/>
        <v>0</v>
      </c>
      <c r="D81" s="769"/>
      <c r="E81" s="770"/>
      <c r="F81" s="771"/>
      <c r="H81" s="140">
        <f t="shared" si="6"/>
        <v>0</v>
      </c>
    </row>
    <row r="82" spans="1:8" s="140" customFormat="1">
      <c r="A82" s="127" t="s">
        <v>922</v>
      </c>
      <c r="B82" s="128" t="s">
        <v>923</v>
      </c>
      <c r="C82" s="134">
        <f>+D82+E82+F82</f>
        <v>0</v>
      </c>
      <c r="D82" s="769"/>
      <c r="E82" s="770"/>
      <c r="F82" s="771"/>
      <c r="H82" s="140">
        <f t="shared" si="6"/>
        <v>0</v>
      </c>
    </row>
    <row r="83" spans="1:8">
      <c r="A83" s="1126" t="s">
        <v>74</v>
      </c>
      <c r="B83" s="1127" t="s">
        <v>243</v>
      </c>
      <c r="C83" s="129">
        <f t="shared" si="5"/>
        <v>0</v>
      </c>
      <c r="D83" s="1094"/>
      <c r="E83" s="1095"/>
      <c r="F83" s="1096"/>
      <c r="H83" s="141">
        <f t="shared" si="6"/>
        <v>0</v>
      </c>
    </row>
    <row r="84" spans="1:8">
      <c r="A84" s="1128" t="s">
        <v>203</v>
      </c>
      <c r="B84" s="1129" t="s">
        <v>244</v>
      </c>
      <c r="C84" s="142">
        <f t="shared" si="5"/>
        <v>0</v>
      </c>
      <c r="D84" s="1097"/>
      <c r="E84" s="1098"/>
      <c r="F84" s="1099"/>
      <c r="H84" s="141">
        <f t="shared" si="6"/>
        <v>0</v>
      </c>
    </row>
    <row r="85" spans="1:8" ht="12.75" thickBot="1">
      <c r="A85" s="1128" t="s">
        <v>924</v>
      </c>
      <c r="B85" s="1129" t="s">
        <v>925</v>
      </c>
      <c r="C85" s="142">
        <f>+D85+E85+F85</f>
        <v>0</v>
      </c>
      <c r="D85" s="1097"/>
      <c r="E85" s="1098"/>
      <c r="F85" s="1099"/>
      <c r="H85" s="141">
        <f t="shared" si="6"/>
        <v>0</v>
      </c>
    </row>
    <row r="86" spans="1:8" s="143" customFormat="1" ht="12.75" thickBot="1">
      <c r="A86" s="1113" t="s">
        <v>45</v>
      </c>
      <c r="B86" s="1137" t="s">
        <v>305</v>
      </c>
      <c r="C86" s="130">
        <f>+C87</f>
        <v>11051</v>
      </c>
      <c r="D86" s="131">
        <f>+D87</f>
        <v>11051</v>
      </c>
      <c r="E86" s="132">
        <f>+E87</f>
        <v>0</v>
      </c>
      <c r="F86" s="133">
        <f>+F87</f>
        <v>0</v>
      </c>
      <c r="H86" s="143">
        <f t="shared" si="6"/>
        <v>0</v>
      </c>
    </row>
    <row r="87" spans="1:8" s="143" customFormat="1" ht="12.75" thickBot="1">
      <c r="A87" s="1113" t="s">
        <v>44</v>
      </c>
      <c r="B87" s="1121" t="s">
        <v>928</v>
      </c>
      <c r="C87" s="130">
        <f>+C88+C98+C99+C100</f>
        <v>11051</v>
      </c>
      <c r="D87" s="131">
        <f>+D88+D98+D99+D100</f>
        <v>11051</v>
      </c>
      <c r="E87" s="132">
        <f>+E88+E98+E99+E100</f>
        <v>0</v>
      </c>
      <c r="F87" s="133">
        <f>+F88+F98+F99+F100</f>
        <v>0</v>
      </c>
      <c r="H87" s="143">
        <f t="shared" si="6"/>
        <v>0</v>
      </c>
    </row>
    <row r="88" spans="1:8">
      <c r="A88" s="1122" t="s">
        <v>232</v>
      </c>
      <c r="B88" s="135" t="s">
        <v>983</v>
      </c>
      <c r="C88" s="136">
        <f>+C89+C90+C91+C92+C93+C94+C95+C96+C97</f>
        <v>11051</v>
      </c>
      <c r="D88" s="137">
        <f>+D89+D90+D91+D92+D93+D94+D95+D96+D97</f>
        <v>11051</v>
      </c>
      <c r="E88" s="138">
        <f>+E89+E90+E91+E92+E93+E94+E95+E96+E97</f>
        <v>0</v>
      </c>
      <c r="F88" s="139">
        <f>+F89+F90+F91+F92+F93+F94+F95+F96+F97</f>
        <v>0</v>
      </c>
      <c r="H88" s="141">
        <f t="shared" si="6"/>
        <v>0</v>
      </c>
    </row>
    <row r="89" spans="1:8" s="140" customFormat="1">
      <c r="A89" s="127" t="s">
        <v>233</v>
      </c>
      <c r="B89" s="128" t="s">
        <v>920</v>
      </c>
      <c r="C89" s="134">
        <f t="shared" ref="C89:C99" si="7">+D89+E89+F89</f>
        <v>0</v>
      </c>
      <c r="D89" s="769"/>
      <c r="E89" s="770"/>
      <c r="F89" s="771"/>
      <c r="H89" s="140">
        <f t="shared" si="6"/>
        <v>0</v>
      </c>
    </row>
    <row r="90" spans="1:8" s="140" customFormat="1">
      <c r="A90" s="127" t="s">
        <v>234</v>
      </c>
      <c r="B90" s="128" t="s">
        <v>247</v>
      </c>
      <c r="C90" s="134">
        <f t="shared" si="7"/>
        <v>0</v>
      </c>
      <c r="D90" s="769"/>
      <c r="E90" s="770"/>
      <c r="F90" s="771"/>
      <c r="H90" s="140">
        <f t="shared" si="6"/>
        <v>0</v>
      </c>
    </row>
    <row r="91" spans="1:8" s="140" customFormat="1">
      <c r="A91" s="127" t="s">
        <v>235</v>
      </c>
      <c r="B91" s="128" t="s">
        <v>248</v>
      </c>
      <c r="C91" s="134">
        <f t="shared" si="7"/>
        <v>0</v>
      </c>
      <c r="D91" s="769"/>
      <c r="E91" s="770"/>
      <c r="F91" s="771"/>
      <c r="H91" s="140">
        <f t="shared" si="6"/>
        <v>0</v>
      </c>
    </row>
    <row r="92" spans="1:8" s="140" customFormat="1">
      <c r="A92" s="127" t="s">
        <v>236</v>
      </c>
      <c r="B92" s="128" t="s">
        <v>249</v>
      </c>
      <c r="C92" s="134">
        <f t="shared" si="7"/>
        <v>0</v>
      </c>
      <c r="D92" s="769"/>
      <c r="E92" s="770"/>
      <c r="F92" s="771"/>
      <c r="H92" s="140">
        <f t="shared" si="6"/>
        <v>0</v>
      </c>
    </row>
    <row r="93" spans="1:8" s="140" customFormat="1">
      <c r="A93" s="127" t="s">
        <v>237</v>
      </c>
      <c r="B93" s="128" t="s">
        <v>250</v>
      </c>
      <c r="C93" s="134">
        <f t="shared" si="7"/>
        <v>0</v>
      </c>
      <c r="D93" s="769"/>
      <c r="E93" s="770"/>
      <c r="F93" s="771"/>
      <c r="H93" s="140">
        <f t="shared" si="6"/>
        <v>0</v>
      </c>
    </row>
    <row r="94" spans="1:8" s="140" customFormat="1">
      <c r="A94" s="127" t="s">
        <v>238</v>
      </c>
      <c r="B94" s="128" t="s">
        <v>251</v>
      </c>
      <c r="C94" s="134">
        <f t="shared" si="7"/>
        <v>11051</v>
      </c>
      <c r="D94" s="769">
        <f>+D149-D50+D192-D89-D90-D91-D92-D93-D95-D96-D98-D99-D100</f>
        <v>11051</v>
      </c>
      <c r="E94" s="770">
        <f>+E149-E50+E192-E89-E90-E91-E92-E93-E95-E96-E98-E99-E100</f>
        <v>0</v>
      </c>
      <c r="F94" s="771">
        <f>+F149-F50+F192-F89-F90-F91-F92-F93-F95-F96-F98-F99-F100</f>
        <v>0</v>
      </c>
      <c r="H94" s="140">
        <f t="shared" si="6"/>
        <v>0</v>
      </c>
    </row>
    <row r="95" spans="1:8" s="140" customFormat="1">
      <c r="A95" s="127" t="s">
        <v>239</v>
      </c>
      <c r="B95" s="128" t="s">
        <v>252</v>
      </c>
      <c r="C95" s="134">
        <f t="shared" si="7"/>
        <v>0</v>
      </c>
      <c r="D95" s="769"/>
      <c r="E95" s="770"/>
      <c r="F95" s="771"/>
      <c r="H95" s="140">
        <f t="shared" si="6"/>
        <v>0</v>
      </c>
    </row>
    <row r="96" spans="1:8" s="140" customFormat="1">
      <c r="A96" s="127" t="s">
        <v>240</v>
      </c>
      <c r="B96" s="128" t="s">
        <v>245</v>
      </c>
      <c r="C96" s="134">
        <f t="shared" si="7"/>
        <v>0</v>
      </c>
      <c r="D96" s="769"/>
      <c r="E96" s="770"/>
      <c r="F96" s="771"/>
      <c r="H96" s="140">
        <f t="shared" si="6"/>
        <v>0</v>
      </c>
    </row>
    <row r="97" spans="1:8" s="140" customFormat="1">
      <c r="A97" s="127" t="s">
        <v>927</v>
      </c>
      <c r="B97" s="128" t="s">
        <v>923</v>
      </c>
      <c r="C97" s="134">
        <f>+D97+E97+F97</f>
        <v>0</v>
      </c>
      <c r="D97" s="769"/>
      <c r="E97" s="770"/>
      <c r="F97" s="771"/>
      <c r="H97" s="140">
        <f t="shared" si="6"/>
        <v>0</v>
      </c>
    </row>
    <row r="98" spans="1:8">
      <c r="A98" s="1126" t="s">
        <v>241</v>
      </c>
      <c r="B98" s="1127" t="s">
        <v>243</v>
      </c>
      <c r="C98" s="129">
        <f t="shared" si="7"/>
        <v>0</v>
      </c>
      <c r="D98" s="1094"/>
      <c r="E98" s="1095"/>
      <c r="F98" s="1096"/>
      <c r="H98" s="141">
        <f t="shared" si="6"/>
        <v>0</v>
      </c>
    </row>
    <row r="99" spans="1:8">
      <c r="A99" s="1128" t="s">
        <v>242</v>
      </c>
      <c r="B99" s="1129" t="s">
        <v>244</v>
      </c>
      <c r="C99" s="142">
        <f t="shared" si="7"/>
        <v>0</v>
      </c>
      <c r="D99" s="1097"/>
      <c r="E99" s="1098"/>
      <c r="F99" s="1099"/>
      <c r="H99" s="141">
        <f t="shared" si="6"/>
        <v>0</v>
      </c>
    </row>
    <row r="100" spans="1:8" ht="12.75" thickBot="1">
      <c r="A100" s="1128" t="s">
        <v>929</v>
      </c>
      <c r="B100" s="1129" t="s">
        <v>925</v>
      </c>
      <c r="C100" s="142">
        <f>+D100+E100+F100</f>
        <v>0</v>
      </c>
      <c r="D100" s="1097"/>
      <c r="E100" s="1098"/>
      <c r="F100" s="1099"/>
      <c r="H100" s="141">
        <f t="shared" si="6"/>
        <v>0</v>
      </c>
    </row>
    <row r="101" spans="1:8" s="143" customFormat="1" ht="12.75" thickBot="1">
      <c r="A101" s="1113" t="s">
        <v>43</v>
      </c>
      <c r="B101" s="1136" t="s">
        <v>306</v>
      </c>
      <c r="C101" s="130">
        <f>+C71+C86</f>
        <v>53772</v>
      </c>
      <c r="D101" s="131">
        <f>+D71+D86</f>
        <v>53772</v>
      </c>
      <c r="E101" s="132">
        <f>+E71+E86</f>
        <v>0</v>
      </c>
      <c r="F101" s="133">
        <f>+F71+F86</f>
        <v>0</v>
      </c>
      <c r="H101" s="143">
        <f t="shared" si="6"/>
        <v>0</v>
      </c>
    </row>
    <row r="102" spans="1:8" s="143" customFormat="1" ht="12.75" thickBot="1">
      <c r="A102" s="1138" t="s">
        <v>40</v>
      </c>
      <c r="B102" s="1139" t="s">
        <v>307</v>
      </c>
      <c r="C102" s="1140">
        <f>+C70+C101</f>
        <v>54272</v>
      </c>
      <c r="D102" s="1141">
        <f>+D70+D101</f>
        <v>54272</v>
      </c>
      <c r="E102" s="1142">
        <f>+E70+E101</f>
        <v>0</v>
      </c>
      <c r="F102" s="1143">
        <f>+F70+F101</f>
        <v>0</v>
      </c>
      <c r="H102" s="143">
        <f t="shared" si="6"/>
        <v>0</v>
      </c>
    </row>
    <row r="103" spans="1:8" s="143" customFormat="1">
      <c r="A103" s="1144"/>
      <c r="B103" s="1145"/>
      <c r="C103" s="1145"/>
      <c r="D103" s="1145"/>
      <c r="E103" s="1145"/>
      <c r="F103" s="1145"/>
    </row>
    <row r="104" spans="1:8" s="143" customFormat="1">
      <c r="A104" s="1144"/>
      <c r="B104" s="1145"/>
      <c r="C104" s="1145"/>
      <c r="D104" s="1145"/>
      <c r="E104" s="1145"/>
      <c r="F104" s="1145"/>
    </row>
    <row r="105" spans="1:8" s="1102" customFormat="1" ht="15.75">
      <c r="A105" s="1441" t="s">
        <v>80</v>
      </c>
      <c r="B105" s="1441"/>
      <c r="C105" s="1441"/>
      <c r="D105" s="1441"/>
      <c r="E105" s="1441"/>
      <c r="F105" s="1441"/>
    </row>
    <row r="106" spans="1:8" s="1104" customFormat="1" ht="12.75" thickBot="1">
      <c r="A106" s="1103" t="s">
        <v>279</v>
      </c>
      <c r="F106" s="1105" t="s">
        <v>281</v>
      </c>
    </row>
    <row r="107" spans="1:8" s="143" customFormat="1" ht="48.75" thickBot="1">
      <c r="A107" s="1106" t="s">
        <v>17</v>
      </c>
      <c r="B107" s="1146" t="s">
        <v>329</v>
      </c>
      <c r="C107" s="1147" t="s">
        <v>1317</v>
      </c>
      <c r="D107" s="1109" t="s">
        <v>51</v>
      </c>
      <c r="E107" s="1110" t="s">
        <v>52</v>
      </c>
      <c r="F107" s="1111" t="s">
        <v>53</v>
      </c>
    </row>
    <row r="108" spans="1:8" s="143" customFormat="1" ht="12.75" thickBot="1">
      <c r="A108" s="1148" t="s">
        <v>253</v>
      </c>
      <c r="B108" s="1149" t="s">
        <v>254</v>
      </c>
      <c r="C108" s="1445" t="s">
        <v>255</v>
      </c>
      <c r="D108" s="1446"/>
      <c r="E108" s="1446"/>
      <c r="F108" s="1447"/>
    </row>
    <row r="109" spans="1:8" s="143" customFormat="1" ht="12.75" thickBot="1">
      <c r="A109" s="1113" t="s">
        <v>4</v>
      </c>
      <c r="B109" s="1136" t="s">
        <v>308</v>
      </c>
      <c r="C109" s="130">
        <f>+C110+C114+C116+C123+C132</f>
        <v>43221</v>
      </c>
      <c r="D109" s="131">
        <f>+D110+D114+D116+D123+D132</f>
        <v>43221</v>
      </c>
      <c r="E109" s="132">
        <f>+E110+E114+E116+E123+E132</f>
        <v>0</v>
      </c>
      <c r="F109" s="133">
        <f>+F110+F114+F116+F123+F132</f>
        <v>0</v>
      </c>
      <c r="H109" s="143">
        <f t="shared" si="6"/>
        <v>0</v>
      </c>
    </row>
    <row r="110" spans="1:8" s="143" customFormat="1" ht="12.75" thickBot="1">
      <c r="A110" s="1113" t="s">
        <v>5</v>
      </c>
      <c r="B110" s="1121" t="s">
        <v>309</v>
      </c>
      <c r="C110" s="130">
        <f>+C112+C113</f>
        <v>24615</v>
      </c>
      <c r="D110" s="131">
        <f>+D112+D113</f>
        <v>24615</v>
      </c>
      <c r="E110" s="132">
        <f>+E112+E113</f>
        <v>0</v>
      </c>
      <c r="F110" s="133">
        <f>+F112+F113</f>
        <v>0</v>
      </c>
      <c r="H110" s="143">
        <f t="shared" si="6"/>
        <v>0</v>
      </c>
    </row>
    <row r="111" spans="1:8" s="1104" customFormat="1">
      <c r="A111" s="1150" t="s">
        <v>349</v>
      </c>
      <c r="B111" s="1151" t="s">
        <v>350</v>
      </c>
      <c r="C111" s="1152">
        <f>+D111+E111+F111</f>
        <v>0</v>
      </c>
      <c r="D111" s="1153"/>
      <c r="E111" s="1154"/>
      <c r="F111" s="1155"/>
      <c r="H111" s="1104">
        <f t="shared" si="6"/>
        <v>0</v>
      </c>
    </row>
    <row r="112" spans="1:8">
      <c r="A112" s="1122" t="s">
        <v>54</v>
      </c>
      <c r="B112" s="135" t="s">
        <v>127</v>
      </c>
      <c r="C112" s="136">
        <f>+D112+E112+F112</f>
        <v>24615</v>
      </c>
      <c r="D112" s="137">
        <v>24615</v>
      </c>
      <c r="E112" s="138"/>
      <c r="F112" s="139"/>
      <c r="H112" s="141">
        <f t="shared" si="6"/>
        <v>0</v>
      </c>
    </row>
    <row r="113" spans="1:8" ht="12.75" thickBot="1">
      <c r="A113" s="1128" t="s">
        <v>55</v>
      </c>
      <c r="B113" s="1129" t="s">
        <v>128</v>
      </c>
      <c r="C113" s="142">
        <f>+D113+E113+F113</f>
        <v>0</v>
      </c>
      <c r="D113" s="1097"/>
      <c r="E113" s="1098"/>
      <c r="F113" s="1099"/>
      <c r="H113" s="141">
        <f t="shared" si="6"/>
        <v>0</v>
      </c>
    </row>
    <row r="114" spans="1:8" s="143" customFormat="1" ht="12.75" thickBot="1">
      <c r="A114" s="1113" t="s">
        <v>6</v>
      </c>
      <c r="B114" s="1121" t="s">
        <v>256</v>
      </c>
      <c r="C114" s="130">
        <f>+D114+E114+F114</f>
        <v>4809</v>
      </c>
      <c r="D114" s="131">
        <v>4809</v>
      </c>
      <c r="E114" s="132"/>
      <c r="F114" s="133"/>
      <c r="H114" s="143">
        <f t="shared" si="6"/>
        <v>0</v>
      </c>
    </row>
    <row r="115" spans="1:8" s="1104" customFormat="1" ht="12.75" thickBot="1">
      <c r="A115" s="1150" t="s">
        <v>346</v>
      </c>
      <c r="B115" s="1151" t="s">
        <v>347</v>
      </c>
      <c r="C115" s="1152">
        <f>+D115+E115+F115</f>
        <v>0</v>
      </c>
      <c r="D115" s="1153"/>
      <c r="E115" s="1154"/>
      <c r="F115" s="1155"/>
      <c r="H115" s="1104">
        <f t="shared" si="6"/>
        <v>0</v>
      </c>
    </row>
    <row r="116" spans="1:8" s="143" customFormat="1" ht="12.75" thickBot="1">
      <c r="A116" s="1113" t="s">
        <v>3</v>
      </c>
      <c r="B116" s="1121" t="s">
        <v>343</v>
      </c>
      <c r="C116" s="130">
        <f>+C118+C119+C120+C121+C122</f>
        <v>13797</v>
      </c>
      <c r="D116" s="131">
        <f>+D118+D119+D120+D121+D122</f>
        <v>13797</v>
      </c>
      <c r="E116" s="132">
        <f>+E118+E119+E120+E121+E122</f>
        <v>0</v>
      </c>
      <c r="F116" s="133">
        <f>+F118+F119+F120+F121+F122</f>
        <v>0</v>
      </c>
      <c r="H116" s="143">
        <f t="shared" si="6"/>
        <v>0</v>
      </c>
    </row>
    <row r="117" spans="1:8" s="1104" customFormat="1">
      <c r="A117" s="1150" t="s">
        <v>341</v>
      </c>
      <c r="B117" s="1151" t="s">
        <v>348</v>
      </c>
      <c r="C117" s="1152">
        <f t="shared" ref="C117:C122" si="8">+D117+E117+F117</f>
        <v>0</v>
      </c>
      <c r="D117" s="1153"/>
      <c r="E117" s="1154"/>
      <c r="F117" s="1155"/>
      <c r="H117" s="1104">
        <f t="shared" si="6"/>
        <v>0</v>
      </c>
    </row>
    <row r="118" spans="1:8">
      <c r="A118" s="1122" t="s">
        <v>61</v>
      </c>
      <c r="B118" s="135" t="s">
        <v>129</v>
      </c>
      <c r="C118" s="136">
        <f t="shared" si="8"/>
        <v>3300</v>
      </c>
      <c r="D118" s="137">
        <v>3300</v>
      </c>
      <c r="E118" s="138"/>
      <c r="F118" s="139"/>
      <c r="H118" s="141">
        <f t="shared" si="6"/>
        <v>0</v>
      </c>
    </row>
    <row r="119" spans="1:8">
      <c r="A119" s="1126" t="s">
        <v>62</v>
      </c>
      <c r="B119" s="1127" t="s">
        <v>130</v>
      </c>
      <c r="C119" s="129">
        <f t="shared" si="8"/>
        <v>2100</v>
      </c>
      <c r="D119" s="1094">
        <v>2100</v>
      </c>
      <c r="E119" s="1095"/>
      <c r="F119" s="1096"/>
      <c r="H119" s="141">
        <f t="shared" si="6"/>
        <v>0</v>
      </c>
    </row>
    <row r="120" spans="1:8">
      <c r="A120" s="1126" t="s">
        <v>63</v>
      </c>
      <c r="B120" s="1127" t="s">
        <v>131</v>
      </c>
      <c r="C120" s="129">
        <f t="shared" si="8"/>
        <v>5395</v>
      </c>
      <c r="D120" s="1094">
        <v>5395</v>
      </c>
      <c r="E120" s="1095"/>
      <c r="F120" s="1096"/>
      <c r="H120" s="141">
        <f t="shared" si="6"/>
        <v>0</v>
      </c>
    </row>
    <row r="121" spans="1:8">
      <c r="A121" s="1126" t="s">
        <v>64</v>
      </c>
      <c r="B121" s="1127" t="s">
        <v>132</v>
      </c>
      <c r="C121" s="129">
        <f t="shared" si="8"/>
        <v>240</v>
      </c>
      <c r="D121" s="1094">
        <v>240</v>
      </c>
      <c r="E121" s="1095"/>
      <c r="F121" s="1096"/>
      <c r="H121" s="141">
        <f t="shared" si="6"/>
        <v>0</v>
      </c>
    </row>
    <row r="122" spans="1:8" ht="12.75" thickBot="1">
      <c r="A122" s="1128" t="s">
        <v>65</v>
      </c>
      <c r="B122" s="1129" t="s">
        <v>133</v>
      </c>
      <c r="C122" s="142">
        <f t="shared" si="8"/>
        <v>2762</v>
      </c>
      <c r="D122" s="1097">
        <v>2762</v>
      </c>
      <c r="E122" s="1098"/>
      <c r="F122" s="1099"/>
      <c r="H122" s="141">
        <f t="shared" si="6"/>
        <v>0</v>
      </c>
    </row>
    <row r="123" spans="1:8" s="143" customFormat="1" ht="12.75" thickBot="1">
      <c r="A123" s="1113" t="s">
        <v>16</v>
      </c>
      <c r="B123" s="1121" t="s">
        <v>310</v>
      </c>
      <c r="C123" s="130">
        <f>+C124+C125+C126+C127+C128+C129+C130+C131</f>
        <v>0</v>
      </c>
      <c r="D123" s="131">
        <f>+D124+D125+D126+D127+D128+D129+D130+D131</f>
        <v>0</v>
      </c>
      <c r="E123" s="132">
        <f>+E124+E125+E126+E127+E128+E129+E130+E131</f>
        <v>0</v>
      </c>
      <c r="F123" s="133">
        <f>+F124+F125+F126+F127+F128+F129+F130+F131</f>
        <v>0</v>
      </c>
      <c r="H123" s="143">
        <f t="shared" si="6"/>
        <v>0</v>
      </c>
    </row>
    <row r="124" spans="1:8">
      <c r="A124" s="1122" t="s">
        <v>227</v>
      </c>
      <c r="B124" s="135" t="s">
        <v>134</v>
      </c>
      <c r="C124" s="136">
        <f t="shared" ref="C124:C131" si="9">+D124+E124+F124</f>
        <v>0</v>
      </c>
      <c r="D124" s="137"/>
      <c r="E124" s="138"/>
      <c r="F124" s="139"/>
      <c r="H124" s="141">
        <f t="shared" si="6"/>
        <v>0</v>
      </c>
    </row>
    <row r="125" spans="1:8">
      <c r="A125" s="1126" t="s">
        <v>228</v>
      </c>
      <c r="B125" s="1127" t="s">
        <v>135</v>
      </c>
      <c r="C125" s="129">
        <f t="shared" si="9"/>
        <v>0</v>
      </c>
      <c r="D125" s="1094"/>
      <c r="E125" s="1095"/>
      <c r="F125" s="1096"/>
      <c r="H125" s="141">
        <f t="shared" si="6"/>
        <v>0</v>
      </c>
    </row>
    <row r="126" spans="1:8">
      <c r="A126" s="1126" t="s">
        <v>229</v>
      </c>
      <c r="B126" s="1127" t="s">
        <v>136</v>
      </c>
      <c r="C126" s="129">
        <f t="shared" si="9"/>
        <v>0</v>
      </c>
      <c r="D126" s="1094"/>
      <c r="E126" s="1095"/>
      <c r="F126" s="1096"/>
      <c r="H126" s="141">
        <f t="shared" si="6"/>
        <v>0</v>
      </c>
    </row>
    <row r="127" spans="1:8">
      <c r="A127" s="1126" t="s">
        <v>257</v>
      </c>
      <c r="B127" s="1127" t="s">
        <v>137</v>
      </c>
      <c r="C127" s="129">
        <f t="shared" si="9"/>
        <v>0</v>
      </c>
      <c r="D127" s="1094"/>
      <c r="E127" s="1095"/>
      <c r="F127" s="1096"/>
      <c r="H127" s="141">
        <f t="shared" si="6"/>
        <v>0</v>
      </c>
    </row>
    <row r="128" spans="1:8">
      <c r="A128" s="1126" t="s">
        <v>258</v>
      </c>
      <c r="B128" s="1127" t="s">
        <v>138</v>
      </c>
      <c r="C128" s="129">
        <f t="shared" si="9"/>
        <v>0</v>
      </c>
      <c r="D128" s="1094"/>
      <c r="E128" s="1095"/>
      <c r="F128" s="1096"/>
      <c r="H128" s="141">
        <f t="shared" si="6"/>
        <v>0</v>
      </c>
    </row>
    <row r="129" spans="1:8">
      <c r="A129" s="1126" t="s">
        <v>259</v>
      </c>
      <c r="B129" s="1127" t="s">
        <v>139</v>
      </c>
      <c r="C129" s="129">
        <f t="shared" si="9"/>
        <v>0</v>
      </c>
      <c r="D129" s="1094"/>
      <c r="E129" s="1095"/>
      <c r="F129" s="1096"/>
      <c r="H129" s="141">
        <f t="shared" si="6"/>
        <v>0</v>
      </c>
    </row>
    <row r="130" spans="1:8">
      <c r="A130" s="1126" t="s">
        <v>260</v>
      </c>
      <c r="B130" s="1127" t="s">
        <v>140</v>
      </c>
      <c r="C130" s="129">
        <f t="shared" si="9"/>
        <v>0</v>
      </c>
      <c r="D130" s="1094"/>
      <c r="E130" s="1095"/>
      <c r="F130" s="1096"/>
      <c r="H130" s="141">
        <f t="shared" si="6"/>
        <v>0</v>
      </c>
    </row>
    <row r="131" spans="1:8" ht="12.75" thickBot="1">
      <c r="A131" s="1128" t="s">
        <v>261</v>
      </c>
      <c r="B131" s="1129" t="s">
        <v>141</v>
      </c>
      <c r="C131" s="142">
        <f t="shared" si="9"/>
        <v>0</v>
      </c>
      <c r="D131" s="1097"/>
      <c r="E131" s="1098"/>
      <c r="F131" s="1099"/>
      <c r="H131" s="141">
        <f t="shared" si="6"/>
        <v>0</v>
      </c>
    </row>
    <row r="132" spans="1:8" s="143" customFormat="1" ht="12.75" thickBot="1">
      <c r="A132" s="1113" t="s">
        <v>15</v>
      </c>
      <c r="B132" s="1121" t="s">
        <v>933</v>
      </c>
      <c r="C132" s="130">
        <f>+C133+C134+C135+C136+C137+C138+C140+C141+C142+C143+C144+C145+C146</f>
        <v>0</v>
      </c>
      <c r="D132" s="131">
        <f>+D133+D134+D135+D136+D137+D138+D140+D141+D142+D143+D144+D145+D146</f>
        <v>0</v>
      </c>
      <c r="E132" s="132">
        <f>+E133+E134+E135+E136+E137+E138+E140+E141+E142+E143+E144+E145+E146</f>
        <v>0</v>
      </c>
      <c r="F132" s="133">
        <f>+F133+F134+F135+F136+F137+F138+F140+F141+F142+F143+F144+F145+F146</f>
        <v>0</v>
      </c>
      <c r="H132" s="143">
        <f t="shared" si="6"/>
        <v>0</v>
      </c>
    </row>
    <row r="133" spans="1:8">
      <c r="A133" s="1122" t="s">
        <v>87</v>
      </c>
      <c r="B133" s="135" t="s">
        <v>142</v>
      </c>
      <c r="C133" s="136">
        <f t="shared" ref="C133:C145" si="10">+D133+E133+F133</f>
        <v>0</v>
      </c>
      <c r="D133" s="137"/>
      <c r="E133" s="138"/>
      <c r="F133" s="139"/>
      <c r="H133" s="141">
        <f t="shared" si="6"/>
        <v>0</v>
      </c>
    </row>
    <row r="134" spans="1:8">
      <c r="A134" s="1126" t="s">
        <v>88</v>
      </c>
      <c r="B134" s="1127" t="s">
        <v>143</v>
      </c>
      <c r="C134" s="129">
        <f t="shared" si="10"/>
        <v>0</v>
      </c>
      <c r="D134" s="1094"/>
      <c r="E134" s="1095"/>
      <c r="F134" s="1096"/>
      <c r="H134" s="141">
        <f t="shared" si="6"/>
        <v>0</v>
      </c>
    </row>
    <row r="135" spans="1:8">
      <c r="A135" s="1126" t="s">
        <v>182</v>
      </c>
      <c r="B135" s="1127" t="s">
        <v>144</v>
      </c>
      <c r="C135" s="129">
        <f t="shared" si="10"/>
        <v>0</v>
      </c>
      <c r="D135" s="1094"/>
      <c r="E135" s="1095"/>
      <c r="F135" s="1096"/>
      <c r="H135" s="141">
        <f t="shared" si="6"/>
        <v>0</v>
      </c>
    </row>
    <row r="136" spans="1:8">
      <c r="A136" s="1126" t="s">
        <v>183</v>
      </c>
      <c r="B136" s="1127" t="s">
        <v>145</v>
      </c>
      <c r="C136" s="129">
        <f t="shared" si="10"/>
        <v>0</v>
      </c>
      <c r="D136" s="1094"/>
      <c r="E136" s="1095"/>
      <c r="F136" s="1096"/>
      <c r="H136" s="141">
        <f t="shared" si="6"/>
        <v>0</v>
      </c>
    </row>
    <row r="137" spans="1:8">
      <c r="A137" s="1126" t="s">
        <v>184</v>
      </c>
      <c r="B137" s="1127" t="s">
        <v>146</v>
      </c>
      <c r="C137" s="129">
        <f t="shared" si="10"/>
        <v>0</v>
      </c>
      <c r="D137" s="1094"/>
      <c r="E137" s="1095"/>
      <c r="F137" s="1096"/>
      <c r="H137" s="141">
        <f t="shared" si="6"/>
        <v>0</v>
      </c>
    </row>
    <row r="138" spans="1:8">
      <c r="A138" s="1126" t="s">
        <v>262</v>
      </c>
      <c r="B138" s="1127" t="s">
        <v>147</v>
      </c>
      <c r="C138" s="129">
        <f t="shared" si="10"/>
        <v>0</v>
      </c>
      <c r="D138" s="1094"/>
      <c r="E138" s="1095"/>
      <c r="F138" s="1096"/>
      <c r="H138" s="141">
        <f t="shared" si="6"/>
        <v>0</v>
      </c>
    </row>
    <row r="139" spans="1:8" s="140" customFormat="1">
      <c r="A139" s="1130" t="s">
        <v>336</v>
      </c>
      <c r="B139" s="1131" t="s">
        <v>939</v>
      </c>
      <c r="C139" s="1132">
        <f t="shared" si="10"/>
        <v>0</v>
      </c>
      <c r="D139" s="1133"/>
      <c r="E139" s="1134"/>
      <c r="F139" s="1135"/>
      <c r="H139" s="140">
        <f t="shared" ref="H139:H202" si="11">+C139-D139-E139-F139</f>
        <v>0</v>
      </c>
    </row>
    <row r="140" spans="1:8">
      <c r="A140" s="1126" t="s">
        <v>263</v>
      </c>
      <c r="B140" s="1127" t="s">
        <v>148</v>
      </c>
      <c r="C140" s="129">
        <f t="shared" si="10"/>
        <v>0</v>
      </c>
      <c r="D140" s="1094"/>
      <c r="E140" s="1095"/>
      <c r="F140" s="1096"/>
      <c r="H140" s="141">
        <f t="shared" si="11"/>
        <v>0</v>
      </c>
    </row>
    <row r="141" spans="1:8">
      <c r="A141" s="1126" t="s">
        <v>264</v>
      </c>
      <c r="B141" s="1127" t="s">
        <v>149</v>
      </c>
      <c r="C141" s="129">
        <f t="shared" si="10"/>
        <v>0</v>
      </c>
      <c r="D141" s="1094"/>
      <c r="E141" s="1095"/>
      <c r="F141" s="1096"/>
      <c r="H141" s="141">
        <f t="shared" si="11"/>
        <v>0</v>
      </c>
    </row>
    <row r="142" spans="1:8">
      <c r="A142" s="1126" t="s">
        <v>265</v>
      </c>
      <c r="B142" s="1127" t="s">
        <v>150</v>
      </c>
      <c r="C142" s="129">
        <f t="shared" si="10"/>
        <v>0</v>
      </c>
      <c r="D142" s="1094"/>
      <c r="E142" s="1095"/>
      <c r="F142" s="1096"/>
      <c r="H142" s="141">
        <f t="shared" si="11"/>
        <v>0</v>
      </c>
    </row>
    <row r="143" spans="1:8">
      <c r="A143" s="1126" t="s">
        <v>266</v>
      </c>
      <c r="B143" s="1127" t="s">
        <v>151</v>
      </c>
      <c r="C143" s="129">
        <f t="shared" si="10"/>
        <v>0</v>
      </c>
      <c r="D143" s="1094"/>
      <c r="E143" s="1095"/>
      <c r="F143" s="1096"/>
      <c r="H143" s="141">
        <f t="shared" si="11"/>
        <v>0</v>
      </c>
    </row>
    <row r="144" spans="1:8">
      <c r="A144" s="1126" t="s">
        <v>267</v>
      </c>
      <c r="B144" s="1127" t="s">
        <v>934</v>
      </c>
      <c r="C144" s="129">
        <f>+D144+E144+F144</f>
        <v>0</v>
      </c>
      <c r="D144" s="1094"/>
      <c r="E144" s="1095"/>
      <c r="F144" s="1096"/>
      <c r="H144" s="141">
        <f t="shared" si="11"/>
        <v>0</v>
      </c>
    </row>
    <row r="145" spans="1:8">
      <c r="A145" s="1126" t="s">
        <v>268</v>
      </c>
      <c r="B145" s="1127" t="s">
        <v>935</v>
      </c>
      <c r="C145" s="129">
        <f t="shared" si="10"/>
        <v>0</v>
      </c>
      <c r="D145" s="1094"/>
      <c r="E145" s="1095"/>
      <c r="F145" s="1096"/>
      <c r="H145" s="141">
        <f t="shared" si="11"/>
        <v>0</v>
      </c>
    </row>
    <row r="146" spans="1:8">
      <c r="A146" s="1128" t="s">
        <v>930</v>
      </c>
      <c r="B146" s="1129" t="s">
        <v>936</v>
      </c>
      <c r="C146" s="142">
        <f>+C147+C148</f>
        <v>0</v>
      </c>
      <c r="D146" s="1097">
        <f>+D147+D148</f>
        <v>0</v>
      </c>
      <c r="E146" s="1098">
        <f>+E147+E148</f>
        <v>0</v>
      </c>
      <c r="F146" s="1099">
        <f>+F147+F148</f>
        <v>0</v>
      </c>
      <c r="H146" s="141">
        <f t="shared" si="11"/>
        <v>0</v>
      </c>
    </row>
    <row r="147" spans="1:8" s="140" customFormat="1">
      <c r="A147" s="1130" t="s">
        <v>931</v>
      </c>
      <c r="B147" s="1156" t="s">
        <v>937</v>
      </c>
      <c r="C147" s="1132">
        <f>+D147+E147+F147</f>
        <v>0</v>
      </c>
      <c r="D147" s="1133"/>
      <c r="E147" s="1134"/>
      <c r="F147" s="1135"/>
      <c r="H147" s="140">
        <f t="shared" si="11"/>
        <v>0</v>
      </c>
    </row>
    <row r="148" spans="1:8" s="140" customFormat="1" ht="12.75" thickBot="1">
      <c r="A148" s="1130" t="s">
        <v>932</v>
      </c>
      <c r="B148" s="1156" t="s">
        <v>938</v>
      </c>
      <c r="C148" s="1132">
        <f>+D148+E148+F148</f>
        <v>0</v>
      </c>
      <c r="D148" s="1133"/>
      <c r="E148" s="1134"/>
      <c r="F148" s="1135"/>
      <c r="H148" s="140">
        <f t="shared" si="11"/>
        <v>0</v>
      </c>
    </row>
    <row r="149" spans="1:8" s="143" customFormat="1" ht="12.75" thickBot="1">
      <c r="A149" s="1113" t="s">
        <v>14</v>
      </c>
      <c r="B149" s="1136" t="s">
        <v>311</v>
      </c>
      <c r="C149" s="130">
        <f>+C150+C159+C165</f>
        <v>11051</v>
      </c>
      <c r="D149" s="131">
        <f>+D150+D159+D165</f>
        <v>11051</v>
      </c>
      <c r="E149" s="132">
        <f>+E150+E159+E165</f>
        <v>0</v>
      </c>
      <c r="F149" s="133">
        <f>+F150+F159+F165</f>
        <v>0</v>
      </c>
      <c r="H149" s="143">
        <f t="shared" si="11"/>
        <v>0</v>
      </c>
    </row>
    <row r="150" spans="1:8" s="143" customFormat="1" ht="12.75" thickBot="1">
      <c r="A150" s="1113" t="s">
        <v>13</v>
      </c>
      <c r="B150" s="1121" t="s">
        <v>312</v>
      </c>
      <c r="C150" s="130">
        <f>+C152+C153+C154+C155+C156+C157+C158</f>
        <v>11051</v>
      </c>
      <c r="D150" s="131">
        <f>+D152+D153+D154+D155+D156+D157+D158</f>
        <v>11051</v>
      </c>
      <c r="E150" s="132">
        <f>+E152+E153+E154+E155+E156+E157+E158</f>
        <v>0</v>
      </c>
      <c r="F150" s="133">
        <f>+F152+F153+F154+F155+F156+F157+F158</f>
        <v>0</v>
      </c>
      <c r="H150" s="143">
        <f t="shared" si="11"/>
        <v>0</v>
      </c>
    </row>
    <row r="151" spans="1:8" s="1104" customFormat="1">
      <c r="A151" s="1150" t="s">
        <v>940</v>
      </c>
      <c r="B151" s="1151" t="s">
        <v>342</v>
      </c>
      <c r="C151" s="1152">
        <f t="shared" ref="C151:C158" si="12">+D151+E151+F151</f>
        <v>0</v>
      </c>
      <c r="D151" s="1153"/>
      <c r="E151" s="1154"/>
      <c r="F151" s="1155"/>
      <c r="H151" s="1104">
        <f t="shared" si="11"/>
        <v>0</v>
      </c>
    </row>
    <row r="152" spans="1:8">
      <c r="A152" s="1122" t="s">
        <v>66</v>
      </c>
      <c r="B152" s="135" t="s">
        <v>152</v>
      </c>
      <c r="C152" s="136">
        <f t="shared" si="12"/>
        <v>0</v>
      </c>
      <c r="D152" s="137"/>
      <c r="E152" s="138"/>
      <c r="F152" s="139"/>
      <c r="H152" s="141">
        <f t="shared" si="11"/>
        <v>0</v>
      </c>
    </row>
    <row r="153" spans="1:8">
      <c r="A153" s="1126" t="s">
        <v>67</v>
      </c>
      <c r="B153" s="1127" t="s">
        <v>153</v>
      </c>
      <c r="C153" s="129">
        <f t="shared" si="12"/>
        <v>0</v>
      </c>
      <c r="D153" s="1094"/>
      <c r="E153" s="1095"/>
      <c r="F153" s="1096"/>
      <c r="H153" s="141">
        <f t="shared" si="11"/>
        <v>0</v>
      </c>
    </row>
    <row r="154" spans="1:8">
      <c r="A154" s="1126" t="s">
        <v>68</v>
      </c>
      <c r="B154" s="1127" t="s">
        <v>154</v>
      </c>
      <c r="C154" s="129">
        <f t="shared" si="12"/>
        <v>1575</v>
      </c>
      <c r="D154" s="1094">
        <v>1575</v>
      </c>
      <c r="E154" s="1095"/>
      <c r="F154" s="1096"/>
      <c r="H154" s="141">
        <f t="shared" si="11"/>
        <v>0</v>
      </c>
    </row>
    <row r="155" spans="1:8">
      <c r="A155" s="1126" t="s">
        <v>230</v>
      </c>
      <c r="B155" s="1127" t="s">
        <v>155</v>
      </c>
      <c r="C155" s="129">
        <f t="shared" si="12"/>
        <v>7127</v>
      </c>
      <c r="D155" s="1094">
        <v>7127</v>
      </c>
      <c r="E155" s="1095"/>
      <c r="F155" s="1096"/>
      <c r="H155" s="141">
        <f t="shared" si="11"/>
        <v>0</v>
      </c>
    </row>
    <row r="156" spans="1:8">
      <c r="A156" s="1126" t="s">
        <v>231</v>
      </c>
      <c r="B156" s="1127" t="s">
        <v>156</v>
      </c>
      <c r="C156" s="129">
        <f t="shared" si="12"/>
        <v>0</v>
      </c>
      <c r="D156" s="1094"/>
      <c r="E156" s="1095"/>
      <c r="F156" s="1096"/>
      <c r="H156" s="141">
        <f t="shared" si="11"/>
        <v>0</v>
      </c>
    </row>
    <row r="157" spans="1:8">
      <c r="A157" s="1126" t="s">
        <v>269</v>
      </c>
      <c r="B157" s="1127" t="s">
        <v>157</v>
      </c>
      <c r="C157" s="129">
        <f t="shared" si="12"/>
        <v>0</v>
      </c>
      <c r="D157" s="1094"/>
      <c r="E157" s="1095"/>
      <c r="F157" s="1096"/>
      <c r="H157" s="141">
        <f t="shared" si="11"/>
        <v>0</v>
      </c>
    </row>
    <row r="158" spans="1:8" ht="12.75" thickBot="1">
      <c r="A158" s="1128" t="s">
        <v>270</v>
      </c>
      <c r="B158" s="1129" t="s">
        <v>158</v>
      </c>
      <c r="C158" s="142">
        <f t="shared" si="12"/>
        <v>2349</v>
      </c>
      <c r="D158" s="1097">
        <v>2349</v>
      </c>
      <c r="E158" s="1098"/>
      <c r="F158" s="1099"/>
      <c r="H158" s="141">
        <f t="shared" si="11"/>
        <v>0</v>
      </c>
    </row>
    <row r="159" spans="1:8" s="143" customFormat="1" ht="12.75" thickBot="1">
      <c r="A159" s="1113" t="s">
        <v>12</v>
      </c>
      <c r="B159" s="1121" t="s">
        <v>313</v>
      </c>
      <c r="C159" s="130">
        <f>+C161+C162+C163+C164</f>
        <v>0</v>
      </c>
      <c r="D159" s="131">
        <f>+D161+D162+D163+D164</f>
        <v>0</v>
      </c>
      <c r="E159" s="132">
        <f>+E161+E162+E163+E164</f>
        <v>0</v>
      </c>
      <c r="F159" s="133">
        <f>+F161+F162+F163+F164</f>
        <v>0</v>
      </c>
      <c r="H159" s="143">
        <f t="shared" si="11"/>
        <v>0</v>
      </c>
    </row>
    <row r="160" spans="1:8" s="1104" customFormat="1">
      <c r="A160" s="1150" t="s">
        <v>344</v>
      </c>
      <c r="B160" s="1151" t="s">
        <v>345</v>
      </c>
      <c r="C160" s="1152">
        <f>+D160+E160+F160</f>
        <v>0</v>
      </c>
      <c r="D160" s="1153"/>
      <c r="E160" s="1154"/>
      <c r="F160" s="1155"/>
      <c r="H160" s="1104">
        <f t="shared" si="11"/>
        <v>0</v>
      </c>
    </row>
    <row r="161" spans="1:8">
      <c r="A161" s="1122" t="s">
        <v>69</v>
      </c>
      <c r="B161" s="135" t="s">
        <v>159</v>
      </c>
      <c r="C161" s="136">
        <f>+D161+E161+F161</f>
        <v>0</v>
      </c>
      <c r="D161" s="137"/>
      <c r="E161" s="138"/>
      <c r="F161" s="139"/>
      <c r="H161" s="141">
        <f t="shared" si="11"/>
        <v>0</v>
      </c>
    </row>
    <row r="162" spans="1:8">
      <c r="A162" s="1126" t="s">
        <v>70</v>
      </c>
      <c r="B162" s="1127" t="s">
        <v>160</v>
      </c>
      <c r="C162" s="129">
        <f>+D162+E162+F162</f>
        <v>0</v>
      </c>
      <c r="D162" s="1094"/>
      <c r="E162" s="1095"/>
      <c r="F162" s="1096"/>
      <c r="H162" s="141">
        <f t="shared" si="11"/>
        <v>0</v>
      </c>
    </row>
    <row r="163" spans="1:8">
      <c r="A163" s="1126" t="s">
        <v>71</v>
      </c>
      <c r="B163" s="1127" t="s">
        <v>161</v>
      </c>
      <c r="C163" s="129">
        <f>+D163+E163+F163</f>
        <v>0</v>
      </c>
      <c r="D163" s="1094"/>
      <c r="E163" s="1095"/>
      <c r="F163" s="1096"/>
      <c r="H163" s="141">
        <f t="shared" si="11"/>
        <v>0</v>
      </c>
    </row>
    <row r="164" spans="1:8" ht="12.75" thickBot="1">
      <c r="A164" s="1128" t="s">
        <v>72</v>
      </c>
      <c r="B164" s="1129" t="s">
        <v>162</v>
      </c>
      <c r="C164" s="142">
        <f>+D164+E164+F164</f>
        <v>0</v>
      </c>
      <c r="D164" s="1097"/>
      <c r="E164" s="1098"/>
      <c r="F164" s="1099"/>
      <c r="H164" s="141">
        <f t="shared" si="11"/>
        <v>0</v>
      </c>
    </row>
    <row r="165" spans="1:8" s="143" customFormat="1" ht="12.75" thickBot="1">
      <c r="A165" s="1113" t="s">
        <v>11</v>
      </c>
      <c r="B165" s="1121" t="s">
        <v>942</v>
      </c>
      <c r="C165" s="130">
        <f>+C166+C167+C168+C169+C171+C172+C173+C174+C175</f>
        <v>0</v>
      </c>
      <c r="D165" s="131">
        <f>+D166+D167+D168+D169+D171+D172+D173+D174+D175</f>
        <v>0</v>
      </c>
      <c r="E165" s="132">
        <f>+E166+E167+E168+E169+E171+E172+E173+E174+E175</f>
        <v>0</v>
      </c>
      <c r="F165" s="133">
        <f>+F166+F167+F168+F169+F171+F172+F173+F174+F175</f>
        <v>0</v>
      </c>
      <c r="H165" s="143">
        <f t="shared" si="11"/>
        <v>0</v>
      </c>
    </row>
    <row r="166" spans="1:8">
      <c r="A166" s="1122" t="s">
        <v>271</v>
      </c>
      <c r="B166" s="135" t="s">
        <v>163</v>
      </c>
      <c r="C166" s="136">
        <f t="shared" ref="C166:C175" si="13">+D166+E166+F166</f>
        <v>0</v>
      </c>
      <c r="D166" s="137"/>
      <c r="E166" s="138"/>
      <c r="F166" s="139"/>
      <c r="H166" s="141">
        <f t="shared" si="11"/>
        <v>0</v>
      </c>
    </row>
    <row r="167" spans="1:8">
      <c r="A167" s="1126" t="s">
        <v>272</v>
      </c>
      <c r="B167" s="1127" t="s">
        <v>164</v>
      </c>
      <c r="C167" s="129">
        <f t="shared" si="13"/>
        <v>0</v>
      </c>
      <c r="D167" s="1094"/>
      <c r="E167" s="1095"/>
      <c r="F167" s="1096"/>
      <c r="H167" s="141">
        <f t="shared" si="11"/>
        <v>0</v>
      </c>
    </row>
    <row r="168" spans="1:8">
      <c r="A168" s="1126" t="s">
        <v>273</v>
      </c>
      <c r="B168" s="1127" t="s">
        <v>165</v>
      </c>
      <c r="C168" s="129">
        <f t="shared" si="13"/>
        <v>0</v>
      </c>
      <c r="D168" s="1094"/>
      <c r="E168" s="1095"/>
      <c r="F168" s="1096"/>
      <c r="H168" s="141">
        <f t="shared" si="11"/>
        <v>0</v>
      </c>
    </row>
    <row r="169" spans="1:8">
      <c r="A169" s="1126" t="s">
        <v>274</v>
      </c>
      <c r="B169" s="1127" t="s">
        <v>166</v>
      </c>
      <c r="C169" s="129">
        <f t="shared" si="13"/>
        <v>0</v>
      </c>
      <c r="D169" s="1094"/>
      <c r="E169" s="1095"/>
      <c r="F169" s="1096"/>
      <c r="H169" s="141">
        <f t="shared" si="11"/>
        <v>0</v>
      </c>
    </row>
    <row r="170" spans="1:8" s="140" customFormat="1">
      <c r="A170" s="1130" t="s">
        <v>339</v>
      </c>
      <c r="B170" s="1131" t="s">
        <v>340</v>
      </c>
      <c r="C170" s="1132">
        <f t="shared" si="13"/>
        <v>0</v>
      </c>
      <c r="D170" s="1133"/>
      <c r="E170" s="1134"/>
      <c r="F170" s="1135"/>
      <c r="H170" s="140">
        <f t="shared" si="11"/>
        <v>0</v>
      </c>
    </row>
    <row r="171" spans="1:8">
      <c r="A171" s="1126" t="s">
        <v>275</v>
      </c>
      <c r="B171" s="1127" t="s">
        <v>167</v>
      </c>
      <c r="C171" s="129">
        <f t="shared" si="13"/>
        <v>0</v>
      </c>
      <c r="D171" s="1094"/>
      <c r="E171" s="1095"/>
      <c r="F171" s="1096"/>
      <c r="H171" s="141">
        <f t="shared" si="11"/>
        <v>0</v>
      </c>
    </row>
    <row r="172" spans="1:8">
      <c r="A172" s="1126" t="s">
        <v>276</v>
      </c>
      <c r="B172" s="1127" t="s">
        <v>168</v>
      </c>
      <c r="C172" s="129">
        <f t="shared" si="13"/>
        <v>0</v>
      </c>
      <c r="D172" s="1094"/>
      <c r="E172" s="1095"/>
      <c r="F172" s="1096"/>
      <c r="H172" s="141">
        <f t="shared" si="11"/>
        <v>0</v>
      </c>
    </row>
    <row r="173" spans="1:8">
      <c r="A173" s="1126" t="s">
        <v>277</v>
      </c>
      <c r="B173" s="1127" t="s">
        <v>169</v>
      </c>
      <c r="C173" s="129">
        <f t="shared" si="13"/>
        <v>0</v>
      </c>
      <c r="D173" s="1094"/>
      <c r="E173" s="1095"/>
      <c r="F173" s="1096"/>
      <c r="H173" s="141">
        <f t="shared" si="11"/>
        <v>0</v>
      </c>
    </row>
    <row r="174" spans="1:8">
      <c r="A174" s="1126" t="s">
        <v>278</v>
      </c>
      <c r="B174" s="1127" t="s">
        <v>943</v>
      </c>
      <c r="C174" s="129">
        <f>+D174+E174+F174</f>
        <v>0</v>
      </c>
      <c r="D174" s="1094"/>
      <c r="E174" s="1095"/>
      <c r="F174" s="1096"/>
      <c r="H174" s="141">
        <f t="shared" si="11"/>
        <v>0</v>
      </c>
    </row>
    <row r="175" spans="1:8" ht="12.75" thickBot="1">
      <c r="A175" s="1128" t="s">
        <v>941</v>
      </c>
      <c r="B175" s="1129" t="s">
        <v>944</v>
      </c>
      <c r="C175" s="142">
        <f t="shared" si="13"/>
        <v>0</v>
      </c>
      <c r="D175" s="1097"/>
      <c r="E175" s="1098"/>
      <c r="F175" s="1099"/>
      <c r="H175" s="141">
        <f t="shared" si="11"/>
        <v>0</v>
      </c>
    </row>
    <row r="176" spans="1:8" s="143" customFormat="1" ht="12.75" thickBot="1">
      <c r="A176" s="1113" t="s">
        <v>10</v>
      </c>
      <c r="B176" s="1136" t="s">
        <v>314</v>
      </c>
      <c r="C176" s="130">
        <f>+C109+C149</f>
        <v>54272</v>
      </c>
      <c r="D176" s="131">
        <f>+D109+D149</f>
        <v>54272</v>
      </c>
      <c r="E176" s="132">
        <f>+E109+E149</f>
        <v>0</v>
      </c>
      <c r="F176" s="133">
        <f>+F109+F149</f>
        <v>0</v>
      </c>
      <c r="H176" s="143">
        <f t="shared" si="11"/>
        <v>0</v>
      </c>
    </row>
    <row r="177" spans="1:8" s="143" customFormat="1" ht="12.75" thickBot="1">
      <c r="A177" s="1113" t="s">
        <v>9</v>
      </c>
      <c r="B177" s="1137" t="s">
        <v>315</v>
      </c>
      <c r="C177" s="130">
        <f>+C178</f>
        <v>0</v>
      </c>
      <c r="D177" s="131">
        <f>+D178</f>
        <v>0</v>
      </c>
      <c r="E177" s="132">
        <f>+E178</f>
        <v>0</v>
      </c>
      <c r="F177" s="133">
        <f>+F178</f>
        <v>0</v>
      </c>
      <c r="H177" s="143">
        <f t="shared" si="11"/>
        <v>0</v>
      </c>
    </row>
    <row r="178" spans="1:8" s="143" customFormat="1" ht="12.75" thickBot="1">
      <c r="A178" s="1113" t="s">
        <v>45</v>
      </c>
      <c r="B178" s="1121" t="s">
        <v>951</v>
      </c>
      <c r="C178" s="130">
        <f>+C179+C189+C190+C191</f>
        <v>0</v>
      </c>
      <c r="D178" s="131">
        <f>+D179+D189+D190+D191</f>
        <v>0</v>
      </c>
      <c r="E178" s="132">
        <f>+E179+E189+E190+E191</f>
        <v>0</v>
      </c>
      <c r="F178" s="133">
        <f>+F179+F189+F190+F191</f>
        <v>0</v>
      </c>
      <c r="H178" s="143">
        <f t="shared" si="11"/>
        <v>0</v>
      </c>
    </row>
    <row r="179" spans="1:8">
      <c r="A179" s="1122" t="s">
        <v>75</v>
      </c>
      <c r="B179" s="135" t="s">
        <v>952</v>
      </c>
      <c r="C179" s="136">
        <f>+C180+C181+C182+C183+C184+C185+C186+C187+C188</f>
        <v>0</v>
      </c>
      <c r="D179" s="137">
        <f>+D180+D181+D182+D183+D184+D185+D186+D187+D188</f>
        <v>0</v>
      </c>
      <c r="E179" s="138">
        <f>+E180+E181+E182+E183+E184+E185+E186+E187+E188</f>
        <v>0</v>
      </c>
      <c r="F179" s="139">
        <f>+F180+F181+F182+F183+F184+F185+F186+F187+F188</f>
        <v>0</v>
      </c>
      <c r="H179" s="141">
        <f t="shared" si="11"/>
        <v>0</v>
      </c>
    </row>
    <row r="180" spans="1:8" s="140" customFormat="1">
      <c r="A180" s="127" t="s">
        <v>205</v>
      </c>
      <c r="B180" s="128" t="s">
        <v>170</v>
      </c>
      <c r="C180" s="134">
        <f t="shared" ref="C180:C190" si="14">+D180+E180+F180</f>
        <v>0</v>
      </c>
      <c r="D180" s="769"/>
      <c r="E180" s="770"/>
      <c r="F180" s="771"/>
      <c r="H180" s="140">
        <f t="shared" si="11"/>
        <v>0</v>
      </c>
    </row>
    <row r="181" spans="1:8" s="140" customFormat="1">
      <c r="A181" s="127" t="s">
        <v>206</v>
      </c>
      <c r="B181" s="128" t="s">
        <v>171</v>
      </c>
      <c r="C181" s="134">
        <f t="shared" si="14"/>
        <v>0</v>
      </c>
      <c r="D181" s="769"/>
      <c r="E181" s="770"/>
      <c r="F181" s="771"/>
      <c r="H181" s="140">
        <f t="shared" si="11"/>
        <v>0</v>
      </c>
    </row>
    <row r="182" spans="1:8" s="140" customFormat="1">
      <c r="A182" s="127" t="s">
        <v>207</v>
      </c>
      <c r="B182" s="128" t="s">
        <v>172</v>
      </c>
      <c r="C182" s="134">
        <f t="shared" si="14"/>
        <v>0</v>
      </c>
      <c r="D182" s="769"/>
      <c r="E182" s="770"/>
      <c r="F182" s="771"/>
      <c r="H182" s="140">
        <f t="shared" si="11"/>
        <v>0</v>
      </c>
    </row>
    <row r="183" spans="1:8" s="140" customFormat="1">
      <c r="A183" s="127" t="s">
        <v>208</v>
      </c>
      <c r="B183" s="128" t="s">
        <v>173</v>
      </c>
      <c r="C183" s="134">
        <f t="shared" si="14"/>
        <v>0</v>
      </c>
      <c r="D183" s="769"/>
      <c r="E183" s="770"/>
      <c r="F183" s="771"/>
      <c r="H183" s="140">
        <f t="shared" si="11"/>
        <v>0</v>
      </c>
    </row>
    <row r="184" spans="1:8" s="140" customFormat="1">
      <c r="A184" s="127" t="s">
        <v>209</v>
      </c>
      <c r="B184" s="128" t="s">
        <v>174</v>
      </c>
      <c r="C184" s="134">
        <f t="shared" si="14"/>
        <v>0</v>
      </c>
      <c r="D184" s="769"/>
      <c r="E184" s="770"/>
      <c r="F184" s="771"/>
      <c r="H184" s="140">
        <f t="shared" si="11"/>
        <v>0</v>
      </c>
    </row>
    <row r="185" spans="1:8" s="140" customFormat="1">
      <c r="A185" s="127" t="s">
        <v>210</v>
      </c>
      <c r="B185" s="128" t="s">
        <v>179</v>
      </c>
      <c r="C185" s="134">
        <f t="shared" si="14"/>
        <v>0</v>
      </c>
      <c r="D185" s="769"/>
      <c r="E185" s="770"/>
      <c r="F185" s="771"/>
      <c r="H185" s="140">
        <f t="shared" si="11"/>
        <v>0</v>
      </c>
    </row>
    <row r="186" spans="1:8" s="140" customFormat="1">
      <c r="A186" s="127" t="s">
        <v>211</v>
      </c>
      <c r="B186" s="128" t="s">
        <v>175</v>
      </c>
      <c r="C186" s="134">
        <f t="shared" si="14"/>
        <v>0</v>
      </c>
      <c r="D186" s="769"/>
      <c r="E186" s="770"/>
      <c r="F186" s="771"/>
      <c r="H186" s="140">
        <f t="shared" si="11"/>
        <v>0</v>
      </c>
    </row>
    <row r="187" spans="1:8" s="140" customFormat="1">
      <c r="A187" s="127" t="s">
        <v>212</v>
      </c>
      <c r="B187" s="128" t="s">
        <v>176</v>
      </c>
      <c r="C187" s="134">
        <f t="shared" si="14"/>
        <v>0</v>
      </c>
      <c r="D187" s="769"/>
      <c r="E187" s="770"/>
      <c r="F187" s="771"/>
      <c r="H187" s="140">
        <f t="shared" si="11"/>
        <v>0</v>
      </c>
    </row>
    <row r="188" spans="1:8" s="140" customFormat="1">
      <c r="A188" s="127" t="s">
        <v>945</v>
      </c>
      <c r="B188" s="128" t="s">
        <v>947</v>
      </c>
      <c r="C188" s="134">
        <f>+D188+E188+F188</f>
        <v>0</v>
      </c>
      <c r="D188" s="769"/>
      <c r="E188" s="770"/>
      <c r="F188" s="771"/>
      <c r="H188" s="140">
        <f t="shared" si="11"/>
        <v>0</v>
      </c>
    </row>
    <row r="189" spans="1:8">
      <c r="A189" s="1126" t="s">
        <v>76</v>
      </c>
      <c r="B189" s="1127" t="s">
        <v>177</v>
      </c>
      <c r="C189" s="129">
        <f t="shared" si="14"/>
        <v>0</v>
      </c>
      <c r="D189" s="1094"/>
      <c r="E189" s="1095"/>
      <c r="F189" s="1096"/>
      <c r="H189" s="141">
        <f t="shared" si="11"/>
        <v>0</v>
      </c>
    </row>
    <row r="190" spans="1:8">
      <c r="A190" s="1128" t="s">
        <v>77</v>
      </c>
      <c r="B190" s="1129" t="s">
        <v>178</v>
      </c>
      <c r="C190" s="142">
        <f t="shared" si="14"/>
        <v>0</v>
      </c>
      <c r="D190" s="1097"/>
      <c r="E190" s="1098"/>
      <c r="F190" s="1099"/>
      <c r="H190" s="141">
        <f t="shared" si="11"/>
        <v>0</v>
      </c>
    </row>
    <row r="191" spans="1:8" ht="12.75" thickBot="1">
      <c r="A191" s="1128" t="s">
        <v>950</v>
      </c>
      <c r="B191" s="1129" t="s">
        <v>948</v>
      </c>
      <c r="C191" s="142">
        <f>+D191+E191+F191</f>
        <v>0</v>
      </c>
      <c r="D191" s="1097"/>
      <c r="E191" s="1098"/>
      <c r="F191" s="1099"/>
      <c r="H191" s="141">
        <f t="shared" si="11"/>
        <v>0</v>
      </c>
    </row>
    <row r="192" spans="1:8" s="143" customFormat="1" ht="12.75" thickBot="1">
      <c r="A192" s="1113" t="s">
        <v>44</v>
      </c>
      <c r="B192" s="1136" t="s">
        <v>316</v>
      </c>
      <c r="C192" s="130">
        <f>+C193</f>
        <v>0</v>
      </c>
      <c r="D192" s="131">
        <f>+D193</f>
        <v>0</v>
      </c>
      <c r="E192" s="132">
        <f>+E193</f>
        <v>0</v>
      </c>
      <c r="F192" s="133">
        <f>+F193</f>
        <v>0</v>
      </c>
      <c r="H192" s="143">
        <f t="shared" si="11"/>
        <v>0</v>
      </c>
    </row>
    <row r="193" spans="1:8" s="143" customFormat="1" ht="12.75" thickBot="1">
      <c r="A193" s="1113" t="s">
        <v>43</v>
      </c>
      <c r="B193" s="1121" t="s">
        <v>946</v>
      </c>
      <c r="C193" s="130">
        <f>+C194+C204+C205+C206</f>
        <v>0</v>
      </c>
      <c r="D193" s="131">
        <f>+D194+D204+D205+D206</f>
        <v>0</v>
      </c>
      <c r="E193" s="132">
        <f>+E194+E204+E205+E206</f>
        <v>0</v>
      </c>
      <c r="F193" s="133">
        <f>+F194+F204+F205+F206</f>
        <v>0</v>
      </c>
      <c r="H193" s="143">
        <f t="shared" si="11"/>
        <v>0</v>
      </c>
    </row>
    <row r="194" spans="1:8">
      <c r="A194" s="1122" t="s">
        <v>78</v>
      </c>
      <c r="B194" s="135" t="s">
        <v>984</v>
      </c>
      <c r="C194" s="136">
        <f>+C195+C196+C197+C198+C199+C200+C201+C202+C203</f>
        <v>0</v>
      </c>
      <c r="D194" s="137">
        <f>+D195+D196+D197+D198+D199+D200+D201+D202+D203</f>
        <v>0</v>
      </c>
      <c r="E194" s="138">
        <f>+E195+E196+E197+E198+E199+E200+E201+E202+E203</f>
        <v>0</v>
      </c>
      <c r="F194" s="139">
        <f>+F195+F196+F197+F198+F199+F200+F201+F202+F203</f>
        <v>0</v>
      </c>
      <c r="H194" s="141">
        <f t="shared" si="11"/>
        <v>0</v>
      </c>
    </row>
    <row r="195" spans="1:8" s="140" customFormat="1">
      <c r="A195" s="127" t="s">
        <v>213</v>
      </c>
      <c r="B195" s="128" t="s">
        <v>170</v>
      </c>
      <c r="C195" s="134">
        <f t="shared" ref="C195:C205" si="15">+D195+E195+F195</f>
        <v>0</v>
      </c>
      <c r="D195" s="769"/>
      <c r="E195" s="770"/>
      <c r="F195" s="771"/>
      <c r="H195" s="140">
        <f t="shared" si="11"/>
        <v>0</v>
      </c>
    </row>
    <row r="196" spans="1:8" s="140" customFormat="1">
      <c r="A196" s="127" t="s">
        <v>214</v>
      </c>
      <c r="B196" s="128" t="s">
        <v>171</v>
      </c>
      <c r="C196" s="134">
        <f t="shared" si="15"/>
        <v>0</v>
      </c>
      <c r="D196" s="769"/>
      <c r="E196" s="770"/>
      <c r="F196" s="771"/>
      <c r="H196" s="140">
        <f t="shared" si="11"/>
        <v>0</v>
      </c>
    </row>
    <row r="197" spans="1:8" s="140" customFormat="1">
      <c r="A197" s="127" t="s">
        <v>215</v>
      </c>
      <c r="B197" s="128" t="s">
        <v>172</v>
      </c>
      <c r="C197" s="134">
        <f t="shared" si="15"/>
        <v>0</v>
      </c>
      <c r="D197" s="769"/>
      <c r="E197" s="770"/>
      <c r="F197" s="771"/>
      <c r="H197" s="140">
        <f t="shared" si="11"/>
        <v>0</v>
      </c>
    </row>
    <row r="198" spans="1:8" s="140" customFormat="1">
      <c r="A198" s="127" t="s">
        <v>216</v>
      </c>
      <c r="B198" s="128" t="s">
        <v>173</v>
      </c>
      <c r="C198" s="134">
        <f t="shared" si="15"/>
        <v>0</v>
      </c>
      <c r="D198" s="769"/>
      <c r="E198" s="770"/>
      <c r="F198" s="771"/>
      <c r="H198" s="140">
        <f t="shared" si="11"/>
        <v>0</v>
      </c>
    </row>
    <row r="199" spans="1:8" s="140" customFormat="1">
      <c r="A199" s="127" t="s">
        <v>217</v>
      </c>
      <c r="B199" s="128" t="s">
        <v>174</v>
      </c>
      <c r="C199" s="134">
        <f t="shared" si="15"/>
        <v>0</v>
      </c>
      <c r="D199" s="769"/>
      <c r="E199" s="770"/>
      <c r="F199" s="771"/>
      <c r="H199" s="140">
        <f t="shared" si="11"/>
        <v>0</v>
      </c>
    </row>
    <row r="200" spans="1:8" s="140" customFormat="1">
      <c r="A200" s="127" t="s">
        <v>218</v>
      </c>
      <c r="B200" s="128" t="s">
        <v>179</v>
      </c>
      <c r="C200" s="134">
        <f t="shared" si="15"/>
        <v>0</v>
      </c>
      <c r="D200" s="769"/>
      <c r="E200" s="770"/>
      <c r="F200" s="771"/>
      <c r="H200" s="140">
        <f t="shared" si="11"/>
        <v>0</v>
      </c>
    </row>
    <row r="201" spans="1:8" s="140" customFormat="1">
      <c r="A201" s="127" t="s">
        <v>219</v>
      </c>
      <c r="B201" s="128" t="s">
        <v>175</v>
      </c>
      <c r="C201" s="134">
        <f t="shared" si="15"/>
        <v>0</v>
      </c>
      <c r="D201" s="769"/>
      <c r="E201" s="770"/>
      <c r="F201" s="771"/>
      <c r="H201" s="140">
        <f t="shared" si="11"/>
        <v>0</v>
      </c>
    </row>
    <row r="202" spans="1:8" s="140" customFormat="1">
      <c r="A202" s="127" t="s">
        <v>220</v>
      </c>
      <c r="B202" s="128" t="s">
        <v>176</v>
      </c>
      <c r="C202" s="134">
        <f t="shared" si="15"/>
        <v>0</v>
      </c>
      <c r="D202" s="769"/>
      <c r="E202" s="770"/>
      <c r="F202" s="771"/>
      <c r="H202" s="140">
        <f t="shared" si="11"/>
        <v>0</v>
      </c>
    </row>
    <row r="203" spans="1:8" s="140" customFormat="1">
      <c r="A203" s="127" t="s">
        <v>945</v>
      </c>
      <c r="B203" s="128" t="s">
        <v>947</v>
      </c>
      <c r="C203" s="134">
        <f>+D203+E203+F203</f>
        <v>0</v>
      </c>
      <c r="D203" s="769"/>
      <c r="E203" s="770"/>
      <c r="F203" s="771"/>
      <c r="H203" s="140">
        <f t="shared" ref="H203:H242" si="16">+C203-D203-E203-F203</f>
        <v>0</v>
      </c>
    </row>
    <row r="204" spans="1:8">
      <c r="A204" s="1126" t="s">
        <v>79</v>
      </c>
      <c r="B204" s="1127" t="s">
        <v>177</v>
      </c>
      <c r="C204" s="129">
        <f t="shared" si="15"/>
        <v>0</v>
      </c>
      <c r="D204" s="1094"/>
      <c r="E204" s="1095"/>
      <c r="F204" s="1096"/>
      <c r="H204" s="141">
        <f t="shared" si="16"/>
        <v>0</v>
      </c>
    </row>
    <row r="205" spans="1:8">
      <c r="A205" s="1128" t="s">
        <v>221</v>
      </c>
      <c r="B205" s="1129" t="s">
        <v>178</v>
      </c>
      <c r="C205" s="142">
        <f t="shared" si="15"/>
        <v>0</v>
      </c>
      <c r="D205" s="1097"/>
      <c r="E205" s="1098"/>
      <c r="F205" s="1099"/>
      <c r="H205" s="141">
        <f t="shared" si="16"/>
        <v>0</v>
      </c>
    </row>
    <row r="206" spans="1:8" ht="12.75" thickBot="1">
      <c r="A206" s="1128" t="s">
        <v>949</v>
      </c>
      <c r="B206" s="1129" t="s">
        <v>948</v>
      </c>
      <c r="C206" s="142">
        <f>+D206+E206+F206</f>
        <v>0</v>
      </c>
      <c r="D206" s="1097"/>
      <c r="E206" s="1098"/>
      <c r="F206" s="1099"/>
      <c r="H206" s="141">
        <f t="shared" si="16"/>
        <v>0</v>
      </c>
    </row>
    <row r="207" spans="1:8" s="143" customFormat="1" ht="12.75" thickBot="1">
      <c r="A207" s="1113" t="s">
        <v>40</v>
      </c>
      <c r="B207" s="1136" t="s">
        <v>317</v>
      </c>
      <c r="C207" s="130">
        <f>+C177+C192</f>
        <v>0</v>
      </c>
      <c r="D207" s="131">
        <f>+D177+D192</f>
        <v>0</v>
      </c>
      <c r="E207" s="132">
        <f>+E177+E192</f>
        <v>0</v>
      </c>
      <c r="F207" s="133">
        <f>+F177+F192</f>
        <v>0</v>
      </c>
      <c r="H207" s="143">
        <f t="shared" si="16"/>
        <v>0</v>
      </c>
    </row>
    <row r="208" spans="1:8" s="143" customFormat="1" ht="12.75" thickBot="1">
      <c r="A208" s="1138" t="s">
        <v>39</v>
      </c>
      <c r="B208" s="1139" t="s">
        <v>335</v>
      </c>
      <c r="C208" s="1140">
        <f>+C176+C207</f>
        <v>54272</v>
      </c>
      <c r="D208" s="1141">
        <f>+D176+D207</f>
        <v>54272</v>
      </c>
      <c r="E208" s="1142">
        <f>+E176+E207</f>
        <v>0</v>
      </c>
      <c r="F208" s="1143">
        <f>+F176+F207</f>
        <v>0</v>
      </c>
      <c r="H208" s="143">
        <f t="shared" si="16"/>
        <v>0</v>
      </c>
    </row>
    <row r="211" spans="1:28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1104" customFormat="1" ht="12.75" thickBot="1">
      <c r="A212" s="1103" t="s">
        <v>282</v>
      </c>
      <c r="F212" s="1105" t="s">
        <v>281</v>
      </c>
    </row>
    <row r="213" spans="1:28" s="143" customFormat="1" ht="12.75" thickBot="1">
      <c r="A213" s="1113" t="s">
        <v>4</v>
      </c>
      <c r="B213" s="1136" t="s">
        <v>318</v>
      </c>
      <c r="C213" s="130">
        <f>+C214+C215</f>
        <v>-53772</v>
      </c>
      <c r="D213" s="131">
        <f>+D214+D215</f>
        <v>-53772</v>
      </c>
      <c r="E213" s="132">
        <f>+E214+E215</f>
        <v>0</v>
      </c>
      <c r="F213" s="133">
        <f>+F214+F215</f>
        <v>0</v>
      </c>
      <c r="H213" s="143">
        <f t="shared" si="16"/>
        <v>0</v>
      </c>
    </row>
    <row r="214" spans="1:28">
      <c r="A214" s="1122" t="s">
        <v>81</v>
      </c>
      <c r="B214" s="1165" t="s">
        <v>319</v>
      </c>
      <c r="C214" s="136">
        <f>+C10-C109</f>
        <v>-42721</v>
      </c>
      <c r="D214" s="137">
        <f>+D10-D109</f>
        <v>-42721</v>
      </c>
      <c r="E214" s="138">
        <f>+E10-E109</f>
        <v>0</v>
      </c>
      <c r="F214" s="139">
        <f>+F10-F109</f>
        <v>0</v>
      </c>
      <c r="H214" s="141">
        <f t="shared" si="16"/>
        <v>0</v>
      </c>
    </row>
    <row r="215" spans="1:28" ht="12.75" thickBot="1">
      <c r="A215" s="1166" t="s">
        <v>82</v>
      </c>
      <c r="B215" s="1167" t="s">
        <v>320</v>
      </c>
      <c r="C215" s="1168">
        <f>+C50-C149</f>
        <v>-11051</v>
      </c>
      <c r="D215" s="1169">
        <f>+D50-D149</f>
        <v>-11051</v>
      </c>
      <c r="E215" s="1163">
        <f>+E50-E149</f>
        <v>0</v>
      </c>
      <c r="F215" s="1164">
        <f>+F50-F149</f>
        <v>0</v>
      </c>
      <c r="H215" s="141">
        <f t="shared" si="16"/>
        <v>0</v>
      </c>
    </row>
    <row r="218" spans="1:28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1104" customFormat="1" ht="12.75" thickBot="1">
      <c r="A219" s="1103" t="s">
        <v>283</v>
      </c>
      <c r="F219" s="1105" t="s">
        <v>281</v>
      </c>
    </row>
    <row r="220" spans="1:28" s="143" customFormat="1" ht="12.75" thickBot="1">
      <c r="A220" s="1113" t="s">
        <v>4</v>
      </c>
      <c r="B220" s="1136" t="s">
        <v>321</v>
      </c>
      <c r="C220" s="130">
        <f>+C221+C228</f>
        <v>53772</v>
      </c>
      <c r="D220" s="131">
        <f>+D221+D228</f>
        <v>53772</v>
      </c>
      <c r="E220" s="132">
        <f>+E221+E228</f>
        <v>0</v>
      </c>
      <c r="F220" s="133">
        <f>+F221+F228</f>
        <v>0</v>
      </c>
      <c r="H220" s="143">
        <f t="shared" si="16"/>
        <v>0</v>
      </c>
    </row>
    <row r="221" spans="1:28" s="143" customFormat="1" ht="12.75" thickBot="1">
      <c r="A221" s="1113" t="s">
        <v>5</v>
      </c>
      <c r="B221" s="1121" t="s">
        <v>322</v>
      </c>
      <c r="C221" s="130">
        <f>+C222-C225</f>
        <v>42721</v>
      </c>
      <c r="D221" s="131">
        <f>+D222-D225</f>
        <v>42721</v>
      </c>
      <c r="E221" s="132">
        <f>+E222-E225</f>
        <v>0</v>
      </c>
      <c r="F221" s="133">
        <f>+F222-F225</f>
        <v>0</v>
      </c>
      <c r="H221" s="143">
        <f t="shared" si="16"/>
        <v>0</v>
      </c>
    </row>
    <row r="222" spans="1:28">
      <c r="A222" s="1122" t="s">
        <v>54</v>
      </c>
      <c r="B222" s="135" t="s">
        <v>323</v>
      </c>
      <c r="C222" s="136">
        <f>+C223+C224</f>
        <v>42721</v>
      </c>
      <c r="D222" s="137">
        <f>+D223+D224</f>
        <v>42721</v>
      </c>
      <c r="E222" s="138">
        <f>+E223+E224</f>
        <v>0</v>
      </c>
      <c r="F222" s="139">
        <f>+F223+F224</f>
        <v>0</v>
      </c>
      <c r="H222" s="141">
        <f t="shared" si="16"/>
        <v>0</v>
      </c>
    </row>
    <row r="223" spans="1:28" s="140" customFormat="1">
      <c r="A223" s="127" t="s">
        <v>190</v>
      </c>
      <c r="B223" s="128" t="s">
        <v>285</v>
      </c>
      <c r="C223" s="134">
        <f>+C76+C80</f>
        <v>0</v>
      </c>
      <c r="D223" s="769">
        <f>+D76+D80</f>
        <v>0</v>
      </c>
      <c r="E223" s="770">
        <f>+E76+E80</f>
        <v>0</v>
      </c>
      <c r="F223" s="771">
        <f>+F76+F80</f>
        <v>0</v>
      </c>
      <c r="H223" s="140">
        <f t="shared" si="16"/>
        <v>0</v>
      </c>
    </row>
    <row r="224" spans="1:28" s="140" customFormat="1">
      <c r="A224" s="127" t="s">
        <v>191</v>
      </c>
      <c r="B224" s="128" t="s">
        <v>286</v>
      </c>
      <c r="C224" s="134">
        <f>+C74+C75+C77+C78+C79+C81</f>
        <v>42721</v>
      </c>
      <c r="D224" s="769">
        <f>+D74+D75+D77+D78+D79+D81</f>
        <v>42721</v>
      </c>
      <c r="E224" s="770">
        <f>+E74+E75+E77+E78+E79+E81</f>
        <v>0</v>
      </c>
      <c r="F224" s="771">
        <f>+F74+F75+F77+F78+F79+F81</f>
        <v>0</v>
      </c>
      <c r="H224" s="140">
        <f t="shared" si="16"/>
        <v>0</v>
      </c>
    </row>
    <row r="225" spans="1:28">
      <c r="A225" s="1126" t="s">
        <v>55</v>
      </c>
      <c r="B225" s="1127" t="s">
        <v>324</v>
      </c>
      <c r="C225" s="129">
        <f>+C227</f>
        <v>0</v>
      </c>
      <c r="D225" s="1094">
        <f>+D227</f>
        <v>0</v>
      </c>
      <c r="E225" s="1095">
        <f>+E227</f>
        <v>0</v>
      </c>
      <c r="F225" s="1096">
        <f>+F227</f>
        <v>0</v>
      </c>
      <c r="H225" s="141">
        <f t="shared" si="16"/>
        <v>0</v>
      </c>
    </row>
    <row r="226" spans="1:28" s="140" customFormat="1">
      <c r="A226" s="127" t="s">
        <v>56</v>
      </c>
      <c r="B226" s="128" t="s">
        <v>287</v>
      </c>
      <c r="C226" s="134">
        <f>+C185</f>
        <v>0</v>
      </c>
      <c r="D226" s="769">
        <f>+D185</f>
        <v>0</v>
      </c>
      <c r="E226" s="770">
        <f>+E185</f>
        <v>0</v>
      </c>
      <c r="F226" s="771">
        <f>+F185</f>
        <v>0</v>
      </c>
      <c r="H226" s="140">
        <f t="shared" si="16"/>
        <v>0</v>
      </c>
    </row>
    <row r="227" spans="1:28" s="140" customFormat="1" ht="12.75" thickBot="1">
      <c r="A227" s="1130" t="s">
        <v>57</v>
      </c>
      <c r="B227" s="1156" t="s">
        <v>288</v>
      </c>
      <c r="C227" s="1132">
        <f>+C180+C181+C182+C183+C184+C186+C187</f>
        <v>0</v>
      </c>
      <c r="D227" s="1133">
        <f>+D180+D181+D182+D183+D184+D186+D187</f>
        <v>0</v>
      </c>
      <c r="E227" s="1134">
        <f>+E180+E181+E182+E183+E184+E186+E187</f>
        <v>0</v>
      </c>
      <c r="F227" s="1135">
        <f>+F180+F181+F182+F183+F184+F186+F187</f>
        <v>0</v>
      </c>
      <c r="H227" s="140">
        <f t="shared" si="16"/>
        <v>0</v>
      </c>
    </row>
    <row r="228" spans="1:28" s="143" customFormat="1" ht="12.75" thickBot="1">
      <c r="A228" s="1113" t="s">
        <v>6</v>
      </c>
      <c r="B228" s="1121" t="s">
        <v>325</v>
      </c>
      <c r="C228" s="130">
        <f>+C229-C232</f>
        <v>11051</v>
      </c>
      <c r="D228" s="131">
        <f>+D229-D232</f>
        <v>11051</v>
      </c>
      <c r="E228" s="132">
        <f>+E229-E232</f>
        <v>0</v>
      </c>
      <c r="F228" s="133">
        <f>+F229-F232</f>
        <v>0</v>
      </c>
      <c r="H228" s="143">
        <f t="shared" si="16"/>
        <v>0</v>
      </c>
    </row>
    <row r="229" spans="1:28">
      <c r="A229" s="1122" t="s">
        <v>58</v>
      </c>
      <c r="B229" s="135" t="s">
        <v>326</v>
      </c>
      <c r="C229" s="136">
        <f>+C230+C231</f>
        <v>11051</v>
      </c>
      <c r="D229" s="137">
        <f>+D230+D231</f>
        <v>11051</v>
      </c>
      <c r="E229" s="138">
        <f>+E230+E231</f>
        <v>0</v>
      </c>
      <c r="F229" s="139">
        <f>+F230+F231</f>
        <v>0</v>
      </c>
      <c r="H229" s="141">
        <f t="shared" si="16"/>
        <v>0</v>
      </c>
    </row>
    <row r="230" spans="1:28" s="140" customFormat="1">
      <c r="A230" s="127" t="s">
        <v>293</v>
      </c>
      <c r="B230" s="128" t="s">
        <v>291</v>
      </c>
      <c r="C230" s="134">
        <f>+C91+C95</f>
        <v>0</v>
      </c>
      <c r="D230" s="769">
        <f>+D91+D95</f>
        <v>0</v>
      </c>
      <c r="E230" s="770">
        <f>+E91+E95</f>
        <v>0</v>
      </c>
      <c r="F230" s="771">
        <f>+F91+F95</f>
        <v>0</v>
      </c>
      <c r="H230" s="140">
        <f t="shared" si="16"/>
        <v>0</v>
      </c>
    </row>
    <row r="231" spans="1:28" s="140" customFormat="1">
      <c r="A231" s="127" t="s">
        <v>294</v>
      </c>
      <c r="B231" s="128" t="s">
        <v>292</v>
      </c>
      <c r="C231" s="134">
        <f>+C89+C90+C92+C93+C94+C96</f>
        <v>11051</v>
      </c>
      <c r="D231" s="769">
        <f>+D89+D90+D92+D93+D94+D96</f>
        <v>11051</v>
      </c>
      <c r="E231" s="770">
        <f>+E89+E90+E92+E93+E94+E96</f>
        <v>0</v>
      </c>
      <c r="F231" s="771">
        <f>+F89+F90+F92+F93+F94+F96</f>
        <v>0</v>
      </c>
      <c r="H231" s="140">
        <f t="shared" si="16"/>
        <v>0</v>
      </c>
    </row>
    <row r="232" spans="1:28">
      <c r="A232" s="1126" t="s">
        <v>59</v>
      </c>
      <c r="B232" s="1127" t="s">
        <v>327</v>
      </c>
      <c r="C232" s="129">
        <f>+C233+C234</f>
        <v>0</v>
      </c>
      <c r="D232" s="1094">
        <f>+D233+D234</f>
        <v>0</v>
      </c>
      <c r="E232" s="1095">
        <f>+E233+E234</f>
        <v>0</v>
      </c>
      <c r="F232" s="1096">
        <f>+F233+F234</f>
        <v>0</v>
      </c>
      <c r="H232" s="141">
        <f t="shared" si="16"/>
        <v>0</v>
      </c>
    </row>
    <row r="233" spans="1:28" s="140" customFormat="1">
      <c r="A233" s="127" t="s">
        <v>295</v>
      </c>
      <c r="B233" s="128" t="s">
        <v>289</v>
      </c>
      <c r="C233" s="134">
        <f>+C200</f>
        <v>0</v>
      </c>
      <c r="D233" s="769">
        <f>+D200</f>
        <v>0</v>
      </c>
      <c r="E233" s="770">
        <f>+E200</f>
        <v>0</v>
      </c>
      <c r="F233" s="771">
        <f>+F200</f>
        <v>0</v>
      </c>
      <c r="H233" s="140">
        <f t="shared" si="16"/>
        <v>0</v>
      </c>
    </row>
    <row r="234" spans="1:28" s="140" customFormat="1" ht="12.75" thickBot="1">
      <c r="A234" s="1170" t="s">
        <v>296</v>
      </c>
      <c r="B234" s="1171" t="s">
        <v>290</v>
      </c>
      <c r="C234" s="1172">
        <f>+C195+C196+C197+C198+C199+C201+C202</f>
        <v>0</v>
      </c>
      <c r="D234" s="1173">
        <f>+D195+D196+D197+D198+D199+D201+D202</f>
        <v>0</v>
      </c>
      <c r="E234" s="1174">
        <f>+E195+E196+E197+E198+E199+E201+E202</f>
        <v>0</v>
      </c>
      <c r="F234" s="1175">
        <f>+F195+F196+F197+F198+F199+F201+F202</f>
        <v>0</v>
      </c>
      <c r="H234" s="140">
        <f t="shared" si="16"/>
        <v>0</v>
      </c>
    </row>
    <row r="237" spans="1:28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s="1104" customFormat="1" ht="12.75" thickBot="1">
      <c r="A238" s="1103" t="s">
        <v>284</v>
      </c>
      <c r="F238" s="1105"/>
    </row>
    <row r="239" spans="1:28" s="143" customFormat="1">
      <c r="A239" s="1176" t="s">
        <v>4</v>
      </c>
      <c r="B239" s="1177" t="s">
        <v>91</v>
      </c>
      <c r="C239" s="1178">
        <f>+D239+E239+F239</f>
        <v>9</v>
      </c>
      <c r="D239" s="1179">
        <v>9</v>
      </c>
      <c r="E239" s="1180"/>
      <c r="F239" s="1181"/>
      <c r="H239" s="143">
        <f t="shared" si="16"/>
        <v>0</v>
      </c>
    </row>
    <row r="240" spans="1:28" s="140" customFormat="1">
      <c r="A240" s="1130" t="s">
        <v>351</v>
      </c>
      <c r="B240" s="1182" t="s">
        <v>352</v>
      </c>
      <c r="C240" s="1183">
        <f>+D240+E240+F240</f>
        <v>0</v>
      </c>
      <c r="D240" s="1184"/>
      <c r="E240" s="1185"/>
      <c r="F240" s="1186"/>
      <c r="H240" s="140">
        <f t="shared" si="16"/>
        <v>0</v>
      </c>
    </row>
    <row r="241" spans="1:8" s="143" customFormat="1" ht="12.75" thickBot="1">
      <c r="A241" s="1187" t="s">
        <v>5</v>
      </c>
      <c r="B241" s="1188" t="s">
        <v>92</v>
      </c>
      <c r="C241" s="1189">
        <f>+D241+E241+F241</f>
        <v>0</v>
      </c>
      <c r="D241" s="1190"/>
      <c r="E241" s="1191"/>
      <c r="F241" s="1192"/>
      <c r="H241" s="143">
        <f t="shared" si="16"/>
        <v>0</v>
      </c>
    </row>
    <row r="242" spans="1:8" s="143" customFormat="1" ht="12.75" thickBot="1">
      <c r="A242" s="1113" t="s">
        <v>6</v>
      </c>
      <c r="B242" s="1136" t="s">
        <v>330</v>
      </c>
      <c r="C242" s="1193">
        <f>+C239+C241</f>
        <v>9</v>
      </c>
      <c r="D242" s="1194">
        <f>+D239+D241</f>
        <v>9</v>
      </c>
      <c r="E242" s="1195">
        <f>+E239+E241</f>
        <v>0</v>
      </c>
      <c r="F242" s="1196">
        <f>+F239+F241</f>
        <v>0</v>
      </c>
      <c r="H242" s="143">
        <f t="shared" si="16"/>
        <v>0</v>
      </c>
    </row>
  </sheetData>
  <mergeCells count="9">
    <mergeCell ref="A211:F211"/>
    <mergeCell ref="A218:F218"/>
    <mergeCell ref="A237:F237"/>
    <mergeCell ref="A3:F3"/>
    <mergeCell ref="A4:F4"/>
    <mergeCell ref="A6:F6"/>
    <mergeCell ref="C9:F9"/>
    <mergeCell ref="A105:F105"/>
    <mergeCell ref="C108:F10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1.4. melléklet - &amp;P. oldal</oddHeader>
  </headerFooter>
  <rowBreaks count="1" manualBreakCount="1">
    <brk id="10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rgb="FF00B0F0"/>
  </sheetPr>
  <dimension ref="A1:AD242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6" width="9.28515625" style="141" customWidth="1"/>
    <col min="7" max="7" width="0" style="141" hidden="1" customWidth="1"/>
    <col min="8" max="8" width="9.140625" style="141" hidden="1" customWidth="1"/>
    <col min="9" max="16384" width="9.140625" style="141"/>
  </cols>
  <sheetData>
    <row r="1" spans="1:8" s="1100" customFormat="1" ht="15.75">
      <c r="F1" s="1101" t="s">
        <v>877</v>
      </c>
    </row>
    <row r="2" spans="1:8" s="1100" customFormat="1" ht="15.75"/>
    <row r="3" spans="1:8" s="1102" customFormat="1" ht="15.75">
      <c r="A3" s="1441" t="s">
        <v>869</v>
      </c>
      <c r="B3" s="1441"/>
      <c r="C3" s="1441"/>
      <c r="D3" s="1441"/>
      <c r="E3" s="1441"/>
      <c r="F3" s="1441"/>
    </row>
    <row r="4" spans="1:8" s="1102" customFormat="1" ht="15.75">
      <c r="A4" s="1441" t="s">
        <v>1319</v>
      </c>
      <c r="B4" s="1441"/>
      <c r="C4" s="1441"/>
      <c r="D4" s="1441"/>
      <c r="E4" s="1441"/>
      <c r="F4" s="1441"/>
    </row>
    <row r="5" spans="1:8" s="1100" customFormat="1" ht="15.75"/>
    <row r="6" spans="1:8" s="1102" customFormat="1" ht="15.75">
      <c r="A6" s="1441" t="s">
        <v>48</v>
      </c>
      <c r="B6" s="1441"/>
      <c r="C6" s="1441"/>
      <c r="D6" s="1441"/>
      <c r="E6" s="1441"/>
      <c r="F6" s="1441"/>
    </row>
    <row r="7" spans="1:8" s="1104" customFormat="1" ht="12.75" thickBot="1">
      <c r="A7" s="1103" t="s">
        <v>280</v>
      </c>
      <c r="F7" s="1105" t="s">
        <v>281</v>
      </c>
    </row>
    <row r="8" spans="1:8" s="1112" customFormat="1" ht="54" customHeight="1" thickBot="1">
      <c r="A8" s="1106" t="s">
        <v>17</v>
      </c>
      <c r="B8" s="1107" t="s">
        <v>328</v>
      </c>
      <c r="C8" s="1108" t="s">
        <v>1317</v>
      </c>
      <c r="D8" s="1109" t="s">
        <v>51</v>
      </c>
      <c r="E8" s="1110" t="s">
        <v>52</v>
      </c>
      <c r="F8" s="1111" t="s">
        <v>53</v>
      </c>
    </row>
    <row r="9" spans="1:8" s="143" customFormat="1" ht="12.75" thickBot="1">
      <c r="A9" s="1113" t="s">
        <v>253</v>
      </c>
      <c r="B9" s="1114" t="s">
        <v>254</v>
      </c>
      <c r="C9" s="1442" t="s">
        <v>255</v>
      </c>
      <c r="D9" s="1443"/>
      <c r="E9" s="1443"/>
      <c r="F9" s="1444"/>
    </row>
    <row r="10" spans="1:8" s="143" customFormat="1" ht="12.75" thickBot="1">
      <c r="A10" s="1115" t="s">
        <v>4</v>
      </c>
      <c r="B10" s="1116" t="s">
        <v>297</v>
      </c>
      <c r="C10" s="1117">
        <f>+C11+C25+C32+C44</f>
        <v>15810</v>
      </c>
      <c r="D10" s="1118">
        <f>+D11+D25+D32+D44</f>
        <v>0</v>
      </c>
      <c r="E10" s="1119">
        <f>+E11+E25+E32+E44</f>
        <v>15810</v>
      </c>
      <c r="F10" s="1120">
        <f>+F11+F25+F32+F44</f>
        <v>0</v>
      </c>
      <c r="H10" s="143">
        <f>+C10-D10-E10-F10</f>
        <v>0</v>
      </c>
    </row>
    <row r="11" spans="1:8" s="143" customFormat="1" ht="12.75" customHeight="1" thickBot="1">
      <c r="A11" s="1113" t="s">
        <v>5</v>
      </c>
      <c r="B11" s="1121" t="s">
        <v>298</v>
      </c>
      <c r="C11" s="130">
        <f>+C12+C19+C20+C21+C22+C23</f>
        <v>3240</v>
      </c>
      <c r="D11" s="131">
        <f>+D12+D19+D20+D21+D22+D23</f>
        <v>0</v>
      </c>
      <c r="E11" s="132">
        <f>+E12+E19+E20+E21+E22+E23</f>
        <v>3240</v>
      </c>
      <c r="F11" s="133">
        <f>+F12+F19+F20+F21+F22+F23</f>
        <v>0</v>
      </c>
      <c r="H11" s="143">
        <f t="shared" ref="H11:H74" si="0">+C11-D11-E11-F11</f>
        <v>0</v>
      </c>
    </row>
    <row r="12" spans="1:8" s="143" customFormat="1">
      <c r="A12" s="1122" t="s">
        <v>54</v>
      </c>
      <c r="B12" s="135" t="s">
        <v>299</v>
      </c>
      <c r="C12" s="136">
        <f>+C13+C14+C15+C16+C17+C18</f>
        <v>0</v>
      </c>
      <c r="D12" s="1123">
        <f>+D13+D14+D15+D16+D17+D18</f>
        <v>0</v>
      </c>
      <c r="E12" s="1124">
        <f>+E13+E14+E15+E16+E17+E18</f>
        <v>0</v>
      </c>
      <c r="F12" s="1125">
        <f>+F13+F14+F15+F16+F17+F18</f>
        <v>0</v>
      </c>
      <c r="H12" s="141">
        <f t="shared" si="0"/>
        <v>0</v>
      </c>
    </row>
    <row r="13" spans="1:8" s="140" customFormat="1">
      <c r="A13" s="127" t="s">
        <v>190</v>
      </c>
      <c r="B13" s="128" t="s">
        <v>93</v>
      </c>
      <c r="C13" s="134">
        <f>+D13+E13+F13</f>
        <v>0</v>
      </c>
      <c r="D13" s="769"/>
      <c r="E13" s="770"/>
      <c r="F13" s="771"/>
      <c r="H13" s="140">
        <f t="shared" si="0"/>
        <v>0</v>
      </c>
    </row>
    <row r="14" spans="1:8" s="140" customFormat="1">
      <c r="A14" s="127" t="s">
        <v>191</v>
      </c>
      <c r="B14" s="128" t="s">
        <v>94</v>
      </c>
      <c r="C14" s="134">
        <f t="shared" ref="C14:C24" si="1">+D14+E14+F14</f>
        <v>0</v>
      </c>
      <c r="D14" s="769"/>
      <c r="E14" s="770"/>
      <c r="F14" s="771"/>
      <c r="H14" s="140">
        <f t="shared" si="0"/>
        <v>0</v>
      </c>
    </row>
    <row r="15" spans="1:8" s="140" customFormat="1">
      <c r="A15" s="127" t="s">
        <v>192</v>
      </c>
      <c r="B15" s="128" t="s">
        <v>95</v>
      </c>
      <c r="C15" s="134">
        <f t="shared" si="1"/>
        <v>0</v>
      </c>
      <c r="D15" s="769"/>
      <c r="E15" s="770"/>
      <c r="F15" s="771"/>
      <c r="H15" s="140">
        <f t="shared" si="0"/>
        <v>0</v>
      </c>
    </row>
    <row r="16" spans="1:8" s="140" customFormat="1">
      <c r="A16" s="127" t="s">
        <v>193</v>
      </c>
      <c r="B16" s="128" t="s">
        <v>96</v>
      </c>
      <c r="C16" s="134">
        <f t="shared" si="1"/>
        <v>0</v>
      </c>
      <c r="D16" s="769"/>
      <c r="E16" s="770"/>
      <c r="F16" s="771"/>
      <c r="H16" s="140">
        <f t="shared" si="0"/>
        <v>0</v>
      </c>
    </row>
    <row r="17" spans="1:8" s="140" customFormat="1">
      <c r="A17" s="127" t="s">
        <v>194</v>
      </c>
      <c r="B17" s="128" t="s">
        <v>905</v>
      </c>
      <c r="C17" s="134">
        <f t="shared" si="1"/>
        <v>0</v>
      </c>
      <c r="D17" s="769"/>
      <c r="E17" s="770"/>
      <c r="F17" s="771"/>
      <c r="H17" s="140">
        <f t="shared" si="0"/>
        <v>0</v>
      </c>
    </row>
    <row r="18" spans="1:8" s="140" customFormat="1">
      <c r="A18" s="127" t="s">
        <v>195</v>
      </c>
      <c r="B18" s="128" t="s">
        <v>906</v>
      </c>
      <c r="C18" s="134">
        <f t="shared" si="1"/>
        <v>0</v>
      </c>
      <c r="D18" s="769"/>
      <c r="E18" s="770"/>
      <c r="F18" s="771"/>
      <c r="H18" s="140">
        <f t="shared" si="0"/>
        <v>0</v>
      </c>
    </row>
    <row r="19" spans="1:8">
      <c r="A19" s="1126" t="s">
        <v>55</v>
      </c>
      <c r="B19" s="1127" t="s">
        <v>97</v>
      </c>
      <c r="C19" s="129">
        <f t="shared" si="1"/>
        <v>0</v>
      </c>
      <c r="D19" s="1094"/>
      <c r="E19" s="1095"/>
      <c r="F19" s="1096"/>
      <c r="H19" s="141">
        <f t="shared" si="0"/>
        <v>0</v>
      </c>
    </row>
    <row r="20" spans="1:8">
      <c r="A20" s="1126" t="s">
        <v>83</v>
      </c>
      <c r="B20" s="1127" t="s">
        <v>98</v>
      </c>
      <c r="C20" s="129">
        <f t="shared" si="1"/>
        <v>0</v>
      </c>
      <c r="D20" s="1094"/>
      <c r="E20" s="1095"/>
      <c r="F20" s="1096"/>
      <c r="H20" s="141">
        <f t="shared" si="0"/>
        <v>0</v>
      </c>
    </row>
    <row r="21" spans="1:8">
      <c r="A21" s="1126" t="s">
        <v>84</v>
      </c>
      <c r="B21" s="1127" t="s">
        <v>99</v>
      </c>
      <c r="C21" s="129">
        <f t="shared" si="1"/>
        <v>0</v>
      </c>
      <c r="D21" s="1094"/>
      <c r="E21" s="1095"/>
      <c r="F21" s="1096"/>
      <c r="H21" s="141">
        <f t="shared" si="0"/>
        <v>0</v>
      </c>
    </row>
    <row r="22" spans="1:8">
      <c r="A22" s="1126" t="s">
        <v>85</v>
      </c>
      <c r="B22" s="1127" t="s">
        <v>100</v>
      </c>
      <c r="C22" s="129">
        <f t="shared" si="1"/>
        <v>0</v>
      </c>
      <c r="D22" s="1094"/>
      <c r="E22" s="1095"/>
      <c r="F22" s="1096"/>
      <c r="H22" s="141">
        <f t="shared" si="0"/>
        <v>0</v>
      </c>
    </row>
    <row r="23" spans="1:8">
      <c r="A23" s="1128" t="s">
        <v>86</v>
      </c>
      <c r="B23" s="1129" t="s">
        <v>101</v>
      </c>
      <c r="C23" s="142">
        <f t="shared" si="1"/>
        <v>3240</v>
      </c>
      <c r="D23" s="1097"/>
      <c r="E23" s="1098">
        <v>3240</v>
      </c>
      <c r="F23" s="1099"/>
      <c r="H23" s="141">
        <f t="shared" si="0"/>
        <v>0</v>
      </c>
    </row>
    <row r="24" spans="1:8" s="140" customFormat="1" ht="12.75" thickBot="1">
      <c r="A24" s="1130" t="s">
        <v>332</v>
      </c>
      <c r="B24" s="1131" t="s">
        <v>333</v>
      </c>
      <c r="C24" s="1132">
        <f t="shared" si="1"/>
        <v>0</v>
      </c>
      <c r="D24" s="1133"/>
      <c r="E24" s="1134"/>
      <c r="F24" s="1135"/>
      <c r="H24" s="140">
        <f t="shared" si="0"/>
        <v>0</v>
      </c>
    </row>
    <row r="25" spans="1:8" s="143" customFormat="1" ht="12.75" customHeight="1" thickBot="1">
      <c r="A25" s="1113" t="s">
        <v>6</v>
      </c>
      <c r="B25" s="1121" t="s">
        <v>787</v>
      </c>
      <c r="C25" s="130">
        <f>+C26+C27+C28+C29+C30+C31</f>
        <v>12570</v>
      </c>
      <c r="D25" s="131">
        <f>+D26+D27+D28+D29+D30+D31</f>
        <v>0</v>
      </c>
      <c r="E25" s="132">
        <f>+E26+E27+E28+E29+E30+E31</f>
        <v>12570</v>
      </c>
      <c r="F25" s="133">
        <f>+F26+F27+F28+F29+F30+F31</f>
        <v>0</v>
      </c>
      <c r="H25" s="143">
        <f t="shared" si="0"/>
        <v>0</v>
      </c>
    </row>
    <row r="26" spans="1:8" ht="12.75" customHeight="1">
      <c r="A26" s="1122" t="s">
        <v>58</v>
      </c>
      <c r="B26" s="135" t="s">
        <v>102</v>
      </c>
      <c r="C26" s="136">
        <f t="shared" ref="C26:C31" si="2">+D26+E26+F26</f>
        <v>0</v>
      </c>
      <c r="D26" s="137"/>
      <c r="E26" s="138"/>
      <c r="F26" s="139"/>
      <c r="H26" s="141">
        <f t="shared" si="0"/>
        <v>0</v>
      </c>
    </row>
    <row r="27" spans="1:8" ht="12.75" customHeight="1">
      <c r="A27" s="1126" t="s">
        <v>59</v>
      </c>
      <c r="B27" s="1127" t="s">
        <v>103</v>
      </c>
      <c r="C27" s="129">
        <f t="shared" si="2"/>
        <v>0</v>
      </c>
      <c r="D27" s="1094"/>
      <c r="E27" s="1095"/>
      <c r="F27" s="1096"/>
      <c r="H27" s="141">
        <f t="shared" si="0"/>
        <v>0</v>
      </c>
    </row>
    <row r="28" spans="1:8" ht="12.75" customHeight="1">
      <c r="A28" s="1126" t="s">
        <v>60</v>
      </c>
      <c r="B28" s="1127" t="s">
        <v>104</v>
      </c>
      <c r="C28" s="129">
        <f t="shared" si="2"/>
        <v>0</v>
      </c>
      <c r="D28" s="1094"/>
      <c r="E28" s="1095"/>
      <c r="F28" s="1096"/>
      <c r="H28" s="141">
        <f t="shared" si="0"/>
        <v>0</v>
      </c>
    </row>
    <row r="29" spans="1:8" ht="12.75" customHeight="1">
      <c r="A29" s="1126" t="s">
        <v>180</v>
      </c>
      <c r="B29" s="1127" t="s">
        <v>105</v>
      </c>
      <c r="C29" s="129">
        <f t="shared" si="2"/>
        <v>0</v>
      </c>
      <c r="D29" s="1094"/>
      <c r="E29" s="1095"/>
      <c r="F29" s="1096"/>
      <c r="H29" s="141">
        <f t="shared" si="0"/>
        <v>0</v>
      </c>
    </row>
    <row r="30" spans="1:8" ht="12.75" customHeight="1">
      <c r="A30" s="1128" t="s">
        <v>181</v>
      </c>
      <c r="B30" s="1129" t="s">
        <v>106</v>
      </c>
      <c r="C30" s="142">
        <f t="shared" si="2"/>
        <v>0</v>
      </c>
      <c r="D30" s="1094"/>
      <c r="E30" s="1095"/>
      <c r="F30" s="1096"/>
      <c r="H30" s="141">
        <f t="shared" si="0"/>
        <v>0</v>
      </c>
    </row>
    <row r="31" spans="1:8" ht="12.75" customHeight="1" thickBot="1">
      <c r="A31" s="1128" t="s">
        <v>786</v>
      </c>
      <c r="B31" s="1129" t="s">
        <v>788</v>
      </c>
      <c r="C31" s="142">
        <f t="shared" si="2"/>
        <v>12570</v>
      </c>
      <c r="D31" s="1094"/>
      <c r="E31" s="1095">
        <v>12570</v>
      </c>
      <c r="F31" s="1096"/>
      <c r="H31" s="141">
        <f t="shared" si="0"/>
        <v>0</v>
      </c>
    </row>
    <row r="32" spans="1:8" s="143" customFormat="1" ht="12.75" customHeight="1" thickBot="1">
      <c r="A32" s="1113" t="s">
        <v>3</v>
      </c>
      <c r="B32" s="1121" t="s">
        <v>981</v>
      </c>
      <c r="C32" s="130">
        <f>+C33+C34+C35+C36+C37+C38+C39+C40+C41+C42+C43</f>
        <v>0</v>
      </c>
      <c r="D32" s="131">
        <f>+D33+D34+D35+D36+D37+D38+D39+D40+D41+D42+D43</f>
        <v>0</v>
      </c>
      <c r="E32" s="132">
        <f>+E33+E34+E35+E36+E37+E38+E39+E40+E41+E42+E43</f>
        <v>0</v>
      </c>
      <c r="F32" s="133">
        <f>+F33+F34+F35+F36+F37+F38+F39+F40+F41+F42+F43</f>
        <v>0</v>
      </c>
      <c r="H32" s="143">
        <f t="shared" si="0"/>
        <v>0</v>
      </c>
    </row>
    <row r="33" spans="1:8" ht="12.75" customHeight="1">
      <c r="A33" s="1122" t="s">
        <v>61</v>
      </c>
      <c r="B33" s="135" t="s">
        <v>107</v>
      </c>
      <c r="C33" s="136">
        <f t="shared" ref="C33:C43" si="3">+D33+E33+F33</f>
        <v>0</v>
      </c>
      <c r="D33" s="137"/>
      <c r="E33" s="138"/>
      <c r="F33" s="139"/>
      <c r="H33" s="141">
        <f t="shared" si="0"/>
        <v>0</v>
      </c>
    </row>
    <row r="34" spans="1:8" ht="12.75" customHeight="1">
      <c r="A34" s="1126" t="s">
        <v>62</v>
      </c>
      <c r="B34" s="1127" t="s">
        <v>108</v>
      </c>
      <c r="C34" s="129">
        <f t="shared" si="3"/>
        <v>0</v>
      </c>
      <c r="D34" s="1094"/>
      <c r="E34" s="1095"/>
      <c r="F34" s="1096"/>
      <c r="H34" s="141">
        <f t="shared" si="0"/>
        <v>0</v>
      </c>
    </row>
    <row r="35" spans="1:8" ht="12.75" customHeight="1">
      <c r="A35" s="1126" t="s">
        <v>63</v>
      </c>
      <c r="B35" s="1127" t="s">
        <v>109</v>
      </c>
      <c r="C35" s="129">
        <f t="shared" si="3"/>
        <v>0</v>
      </c>
      <c r="D35" s="1094"/>
      <c r="E35" s="1095"/>
      <c r="F35" s="1096"/>
      <c r="H35" s="141">
        <f t="shared" si="0"/>
        <v>0</v>
      </c>
    </row>
    <row r="36" spans="1:8" ht="12.75" customHeight="1">
      <c r="A36" s="1126" t="s">
        <v>64</v>
      </c>
      <c r="B36" s="1127" t="s">
        <v>110</v>
      </c>
      <c r="C36" s="129">
        <f t="shared" si="3"/>
        <v>0</v>
      </c>
      <c r="D36" s="1094"/>
      <c r="E36" s="1095"/>
      <c r="F36" s="1096"/>
      <c r="H36" s="141">
        <f t="shared" si="0"/>
        <v>0</v>
      </c>
    </row>
    <row r="37" spans="1:8" ht="12.75" customHeight="1">
      <c r="A37" s="1126" t="s">
        <v>65</v>
      </c>
      <c r="B37" s="1127" t="s">
        <v>111</v>
      </c>
      <c r="C37" s="129">
        <f t="shared" si="3"/>
        <v>0</v>
      </c>
      <c r="D37" s="1094"/>
      <c r="E37" s="1095"/>
      <c r="F37" s="1096"/>
      <c r="H37" s="141">
        <f t="shared" si="0"/>
        <v>0</v>
      </c>
    </row>
    <row r="38" spans="1:8" ht="12.75" customHeight="1">
      <c r="A38" s="1126" t="s">
        <v>222</v>
      </c>
      <c r="B38" s="1127" t="s">
        <v>112</v>
      </c>
      <c r="C38" s="129">
        <f t="shared" si="3"/>
        <v>0</v>
      </c>
      <c r="D38" s="1094"/>
      <c r="E38" s="1095"/>
      <c r="F38" s="1096"/>
      <c r="H38" s="141">
        <f t="shared" si="0"/>
        <v>0</v>
      </c>
    </row>
    <row r="39" spans="1:8" ht="12.75" customHeight="1">
      <c r="A39" s="1126" t="s">
        <v>223</v>
      </c>
      <c r="B39" s="1127" t="s">
        <v>113</v>
      </c>
      <c r="C39" s="129">
        <f t="shared" si="3"/>
        <v>0</v>
      </c>
      <c r="D39" s="1094"/>
      <c r="E39" s="1095"/>
      <c r="F39" s="1096"/>
      <c r="H39" s="141">
        <f t="shared" si="0"/>
        <v>0</v>
      </c>
    </row>
    <row r="40" spans="1:8" ht="12.75" customHeight="1">
      <c r="A40" s="1126" t="s">
        <v>224</v>
      </c>
      <c r="B40" s="1127" t="s">
        <v>991</v>
      </c>
      <c r="C40" s="129">
        <f t="shared" si="3"/>
        <v>0</v>
      </c>
      <c r="D40" s="1094"/>
      <c r="E40" s="1095"/>
      <c r="F40" s="1096"/>
      <c r="H40" s="141">
        <f t="shared" si="0"/>
        <v>0</v>
      </c>
    </row>
    <row r="41" spans="1:8" ht="12.75" customHeight="1">
      <c r="A41" s="1126" t="s">
        <v>225</v>
      </c>
      <c r="B41" s="1127" t="s">
        <v>114</v>
      </c>
      <c r="C41" s="129">
        <f t="shared" si="3"/>
        <v>0</v>
      </c>
      <c r="D41" s="1094"/>
      <c r="E41" s="1095"/>
      <c r="F41" s="1096"/>
      <c r="H41" s="141">
        <f t="shared" si="0"/>
        <v>0</v>
      </c>
    </row>
    <row r="42" spans="1:8" ht="12.75" customHeight="1">
      <c r="A42" s="1128" t="s">
        <v>226</v>
      </c>
      <c r="B42" s="1129" t="s">
        <v>908</v>
      </c>
      <c r="C42" s="129">
        <f>+D42+E42+F42</f>
        <v>0</v>
      </c>
      <c r="D42" s="1094"/>
      <c r="E42" s="1095"/>
      <c r="F42" s="1096"/>
      <c r="H42" s="141">
        <f t="shared" si="0"/>
        <v>0</v>
      </c>
    </row>
    <row r="43" spans="1:8" ht="12.75" customHeight="1" thickBot="1">
      <c r="A43" s="1128" t="s">
        <v>907</v>
      </c>
      <c r="B43" s="1129" t="s">
        <v>909</v>
      </c>
      <c r="C43" s="142">
        <f t="shared" si="3"/>
        <v>0</v>
      </c>
      <c r="D43" s="1097"/>
      <c r="E43" s="1098"/>
      <c r="F43" s="1099"/>
      <c r="H43" s="141">
        <f t="shared" si="0"/>
        <v>0</v>
      </c>
    </row>
    <row r="44" spans="1:8" s="143" customFormat="1" ht="12.75" thickBot="1">
      <c r="A44" s="1113" t="s">
        <v>16</v>
      </c>
      <c r="B44" s="1121" t="s">
        <v>982</v>
      </c>
      <c r="C44" s="130">
        <f>+C45+C46+C47+C48+C49</f>
        <v>0</v>
      </c>
      <c r="D44" s="131">
        <f>+D45+D46+D47+D48+D49</f>
        <v>0</v>
      </c>
      <c r="E44" s="132">
        <f>+E45+E46+E47+E48+E49</f>
        <v>0</v>
      </c>
      <c r="F44" s="133">
        <f>+F45+F46+F47+F48+F49</f>
        <v>0</v>
      </c>
      <c r="H44" s="143">
        <f t="shared" si="0"/>
        <v>0</v>
      </c>
    </row>
    <row r="45" spans="1:8" ht="12.75" customHeight="1">
      <c r="A45" s="1122" t="s">
        <v>227</v>
      </c>
      <c r="B45" s="135" t="s">
        <v>115</v>
      </c>
      <c r="C45" s="136">
        <f>+D45+E45+F45</f>
        <v>0</v>
      </c>
      <c r="D45" s="137"/>
      <c r="E45" s="138"/>
      <c r="F45" s="139"/>
      <c r="H45" s="141">
        <f t="shared" si="0"/>
        <v>0</v>
      </c>
    </row>
    <row r="46" spans="1:8" ht="12.75" customHeight="1">
      <c r="A46" s="1122" t="s">
        <v>228</v>
      </c>
      <c r="B46" s="135" t="s">
        <v>910</v>
      </c>
      <c r="C46" s="136">
        <f>+D46+E46+F46</f>
        <v>0</v>
      </c>
      <c r="D46" s="137"/>
      <c r="E46" s="138"/>
      <c r="F46" s="139"/>
      <c r="H46" s="141">
        <f t="shared" si="0"/>
        <v>0</v>
      </c>
    </row>
    <row r="47" spans="1:8" ht="12.75" customHeight="1">
      <c r="A47" s="1122" t="s">
        <v>229</v>
      </c>
      <c r="B47" s="135" t="s">
        <v>911</v>
      </c>
      <c r="C47" s="136">
        <f>+D47+E47+F47</f>
        <v>0</v>
      </c>
      <c r="D47" s="137"/>
      <c r="E47" s="138"/>
      <c r="F47" s="139"/>
      <c r="H47" s="141">
        <f t="shared" si="0"/>
        <v>0</v>
      </c>
    </row>
    <row r="48" spans="1:8" ht="12.75" customHeight="1">
      <c r="A48" s="1126" t="s">
        <v>257</v>
      </c>
      <c r="B48" s="1127" t="s">
        <v>912</v>
      </c>
      <c r="C48" s="129">
        <f>+D48+E48+F48</f>
        <v>0</v>
      </c>
      <c r="D48" s="1094"/>
      <c r="E48" s="1095"/>
      <c r="F48" s="1096"/>
      <c r="H48" s="141">
        <f t="shared" si="0"/>
        <v>0</v>
      </c>
    </row>
    <row r="49" spans="1:8" ht="12.75" customHeight="1" thickBot="1">
      <c r="A49" s="1128" t="s">
        <v>258</v>
      </c>
      <c r="B49" s="1129" t="s">
        <v>913</v>
      </c>
      <c r="C49" s="142">
        <f>+D49+E49+F49</f>
        <v>0</v>
      </c>
      <c r="D49" s="1097"/>
      <c r="E49" s="1098"/>
      <c r="F49" s="1099"/>
      <c r="H49" s="141">
        <f t="shared" si="0"/>
        <v>0</v>
      </c>
    </row>
    <row r="50" spans="1:8" s="143" customFormat="1" ht="12.75" thickBot="1">
      <c r="A50" s="1113" t="s">
        <v>15</v>
      </c>
      <c r="B50" s="1136" t="s">
        <v>300</v>
      </c>
      <c r="C50" s="130">
        <f>+C51+C58+C64</f>
        <v>0</v>
      </c>
      <c r="D50" s="131">
        <f>+D51+D58+D64</f>
        <v>0</v>
      </c>
      <c r="E50" s="132">
        <f>+E51+E58+E64</f>
        <v>0</v>
      </c>
      <c r="F50" s="133">
        <f>+F51+F58+F64</f>
        <v>0</v>
      </c>
      <c r="H50" s="143">
        <f t="shared" si="0"/>
        <v>0</v>
      </c>
    </row>
    <row r="51" spans="1:8" s="143" customFormat="1" ht="12.75" customHeight="1" thickBot="1">
      <c r="A51" s="1113" t="s">
        <v>14</v>
      </c>
      <c r="B51" s="1121" t="s">
        <v>301</v>
      </c>
      <c r="C51" s="130">
        <f>+C52+C53+C54+C55+C56</f>
        <v>0</v>
      </c>
      <c r="D51" s="131">
        <f>+D52+D53+D54+D55+D56</f>
        <v>0</v>
      </c>
      <c r="E51" s="132">
        <f>+E52+E53+E54+E55+E56</f>
        <v>0</v>
      </c>
      <c r="F51" s="133">
        <f>+F52+F53+F54+F55+F56</f>
        <v>0</v>
      </c>
      <c r="H51" s="143">
        <f t="shared" si="0"/>
        <v>0</v>
      </c>
    </row>
    <row r="52" spans="1:8">
      <c r="A52" s="1122" t="s">
        <v>185</v>
      </c>
      <c r="B52" s="135" t="s">
        <v>116</v>
      </c>
      <c r="C52" s="136">
        <f t="shared" ref="C52:C57" si="4">+D52+E52+F52</f>
        <v>0</v>
      </c>
      <c r="D52" s="137"/>
      <c r="E52" s="138"/>
      <c r="F52" s="139"/>
      <c r="H52" s="141">
        <f t="shared" si="0"/>
        <v>0</v>
      </c>
    </row>
    <row r="53" spans="1:8">
      <c r="A53" s="1126" t="s">
        <v>186</v>
      </c>
      <c r="B53" s="1127" t="s">
        <v>117</v>
      </c>
      <c r="C53" s="129">
        <f t="shared" si="4"/>
        <v>0</v>
      </c>
      <c r="D53" s="1094"/>
      <c r="E53" s="1095"/>
      <c r="F53" s="1096"/>
      <c r="H53" s="141">
        <f t="shared" si="0"/>
        <v>0</v>
      </c>
    </row>
    <row r="54" spans="1:8">
      <c r="A54" s="1126" t="s">
        <v>187</v>
      </c>
      <c r="B54" s="1127" t="s">
        <v>118</v>
      </c>
      <c r="C54" s="129">
        <f t="shared" si="4"/>
        <v>0</v>
      </c>
      <c r="D54" s="1094"/>
      <c r="E54" s="1095"/>
      <c r="F54" s="1096"/>
      <c r="H54" s="141">
        <f t="shared" si="0"/>
        <v>0</v>
      </c>
    </row>
    <row r="55" spans="1:8">
      <c r="A55" s="1126" t="s">
        <v>188</v>
      </c>
      <c r="B55" s="1127" t="s">
        <v>119</v>
      </c>
      <c r="C55" s="129">
        <f t="shared" si="4"/>
        <v>0</v>
      </c>
      <c r="D55" s="1094"/>
      <c r="E55" s="1095"/>
      <c r="F55" s="1096"/>
      <c r="H55" s="141">
        <f t="shared" si="0"/>
        <v>0</v>
      </c>
    </row>
    <row r="56" spans="1:8">
      <c r="A56" s="1128" t="s">
        <v>189</v>
      </c>
      <c r="B56" s="1129" t="s">
        <v>120</v>
      </c>
      <c r="C56" s="142">
        <f t="shared" si="4"/>
        <v>0</v>
      </c>
      <c r="D56" s="1097"/>
      <c r="E56" s="1098"/>
      <c r="F56" s="1099"/>
      <c r="H56" s="141">
        <f t="shared" si="0"/>
        <v>0</v>
      </c>
    </row>
    <row r="57" spans="1:8" s="140" customFormat="1" ht="12.75" thickBot="1">
      <c r="A57" s="1130" t="s">
        <v>334</v>
      </c>
      <c r="B57" s="1131" t="s">
        <v>338</v>
      </c>
      <c r="C57" s="1132">
        <f t="shared" si="4"/>
        <v>0</v>
      </c>
      <c r="D57" s="1133"/>
      <c r="E57" s="1134"/>
      <c r="F57" s="1135"/>
      <c r="H57" s="140">
        <f t="shared" si="0"/>
        <v>0</v>
      </c>
    </row>
    <row r="58" spans="1:8" s="143" customFormat="1" ht="12.75" customHeight="1" thickBot="1">
      <c r="A58" s="1113" t="s">
        <v>13</v>
      </c>
      <c r="B58" s="1121" t="s">
        <v>302</v>
      </c>
      <c r="C58" s="130">
        <f>+C59+C60+C61+C62+C63</f>
        <v>0</v>
      </c>
      <c r="D58" s="131">
        <f>+D59+D60+D61+D62+D63</f>
        <v>0</v>
      </c>
      <c r="E58" s="132">
        <f>+E59+E60+E61+E62+E63</f>
        <v>0</v>
      </c>
      <c r="F58" s="133">
        <f>+F59+F60+F61+F62+F63</f>
        <v>0</v>
      </c>
      <c r="H58" s="143">
        <f t="shared" si="0"/>
        <v>0</v>
      </c>
    </row>
    <row r="59" spans="1:8" ht="12.75" customHeight="1">
      <c r="A59" s="1122" t="s">
        <v>66</v>
      </c>
      <c r="B59" s="135" t="s">
        <v>121</v>
      </c>
      <c r="C59" s="136">
        <f>+D59+E59+F59</f>
        <v>0</v>
      </c>
      <c r="D59" s="137"/>
      <c r="E59" s="138"/>
      <c r="F59" s="139"/>
      <c r="H59" s="141">
        <f t="shared" si="0"/>
        <v>0</v>
      </c>
    </row>
    <row r="60" spans="1:8" ht="12.75" customHeight="1">
      <c r="A60" s="1126" t="s">
        <v>67</v>
      </c>
      <c r="B60" s="1127" t="s">
        <v>122</v>
      </c>
      <c r="C60" s="129">
        <f>+D60+E60+F60</f>
        <v>0</v>
      </c>
      <c r="D60" s="1094"/>
      <c r="E60" s="1095"/>
      <c r="F60" s="1096"/>
      <c r="H60" s="141">
        <f t="shared" si="0"/>
        <v>0</v>
      </c>
    </row>
    <row r="61" spans="1:8" ht="12.75" customHeight="1">
      <c r="A61" s="1126" t="s">
        <v>68</v>
      </c>
      <c r="B61" s="1127" t="s">
        <v>123</v>
      </c>
      <c r="C61" s="129">
        <f>+D61+E61+F61</f>
        <v>0</v>
      </c>
      <c r="D61" s="1094"/>
      <c r="E61" s="1095"/>
      <c r="F61" s="1096"/>
      <c r="H61" s="141">
        <f t="shared" si="0"/>
        <v>0</v>
      </c>
    </row>
    <row r="62" spans="1:8" ht="12.75" customHeight="1">
      <c r="A62" s="1126" t="s">
        <v>230</v>
      </c>
      <c r="B62" s="1127" t="s">
        <v>124</v>
      </c>
      <c r="C62" s="129">
        <f>+D62+E62+F62</f>
        <v>0</v>
      </c>
      <c r="D62" s="1094"/>
      <c r="E62" s="1095"/>
      <c r="F62" s="1096"/>
      <c r="H62" s="141">
        <f t="shared" si="0"/>
        <v>0</v>
      </c>
    </row>
    <row r="63" spans="1:8" ht="12.75" customHeight="1" thickBot="1">
      <c r="A63" s="1128" t="s">
        <v>231</v>
      </c>
      <c r="B63" s="1129" t="s">
        <v>125</v>
      </c>
      <c r="C63" s="142">
        <f>+D63+E63+F63</f>
        <v>0</v>
      </c>
      <c r="D63" s="1097"/>
      <c r="E63" s="1098"/>
      <c r="F63" s="1099"/>
      <c r="H63" s="141">
        <f t="shared" si="0"/>
        <v>0</v>
      </c>
    </row>
    <row r="64" spans="1:8" s="143" customFormat="1" ht="12.75" thickBot="1">
      <c r="A64" s="1113" t="s">
        <v>12</v>
      </c>
      <c r="B64" s="1121" t="s">
        <v>917</v>
      </c>
      <c r="C64" s="130">
        <f>+C65+C66+C67+C68+C69</f>
        <v>0</v>
      </c>
      <c r="D64" s="131">
        <f>+D65+D66+D67+D68+D69</f>
        <v>0</v>
      </c>
      <c r="E64" s="132">
        <f>+E65+E66+E67+E68+E69</f>
        <v>0</v>
      </c>
      <c r="F64" s="133">
        <f>+F65+F66+F67+F68+F69</f>
        <v>0</v>
      </c>
      <c r="H64" s="143">
        <f t="shared" si="0"/>
        <v>0</v>
      </c>
    </row>
    <row r="65" spans="1:8">
      <c r="A65" s="1122" t="s">
        <v>69</v>
      </c>
      <c r="B65" s="135" t="s">
        <v>126</v>
      </c>
      <c r="C65" s="136">
        <f>+D65+E65+F65</f>
        <v>0</v>
      </c>
      <c r="D65" s="137"/>
      <c r="E65" s="138"/>
      <c r="F65" s="139"/>
      <c r="H65" s="141">
        <f t="shared" si="0"/>
        <v>0</v>
      </c>
    </row>
    <row r="66" spans="1:8">
      <c r="A66" s="1122" t="s">
        <v>70</v>
      </c>
      <c r="B66" s="135" t="s">
        <v>918</v>
      </c>
      <c r="C66" s="136">
        <f>+D66+E66+F66</f>
        <v>0</v>
      </c>
      <c r="D66" s="137"/>
      <c r="E66" s="138"/>
      <c r="F66" s="139"/>
      <c r="H66" s="141">
        <f t="shared" si="0"/>
        <v>0</v>
      </c>
    </row>
    <row r="67" spans="1:8">
      <c r="A67" s="1122" t="s">
        <v>71</v>
      </c>
      <c r="B67" s="135" t="s">
        <v>919</v>
      </c>
      <c r="C67" s="136">
        <f>+D67+E67+F67</f>
        <v>0</v>
      </c>
      <c r="D67" s="137"/>
      <c r="E67" s="138"/>
      <c r="F67" s="139"/>
      <c r="H67" s="141">
        <f t="shared" si="0"/>
        <v>0</v>
      </c>
    </row>
    <row r="68" spans="1:8">
      <c r="A68" s="1126" t="s">
        <v>72</v>
      </c>
      <c r="B68" s="1127" t="s">
        <v>915</v>
      </c>
      <c r="C68" s="129">
        <f>+D68+E68+F68</f>
        <v>0</v>
      </c>
      <c r="D68" s="1094"/>
      <c r="E68" s="1095"/>
      <c r="F68" s="1096"/>
      <c r="H68" s="141">
        <f t="shared" si="0"/>
        <v>0</v>
      </c>
    </row>
    <row r="69" spans="1:8" ht="12.75" thickBot="1">
      <c r="A69" s="1128" t="s">
        <v>914</v>
      </c>
      <c r="B69" s="1129" t="s">
        <v>916</v>
      </c>
      <c r="C69" s="142">
        <f>+D69+E69+F69</f>
        <v>0</v>
      </c>
      <c r="D69" s="1097"/>
      <c r="E69" s="1098"/>
      <c r="F69" s="1099"/>
      <c r="H69" s="141">
        <f t="shared" si="0"/>
        <v>0</v>
      </c>
    </row>
    <row r="70" spans="1:8" s="143" customFormat="1" ht="12.75" thickBot="1">
      <c r="A70" s="1113" t="s">
        <v>11</v>
      </c>
      <c r="B70" s="1136" t="s">
        <v>303</v>
      </c>
      <c r="C70" s="130">
        <f>+C10+C50</f>
        <v>15810</v>
      </c>
      <c r="D70" s="131">
        <f>+D10+D50</f>
        <v>0</v>
      </c>
      <c r="E70" s="132">
        <f>+E10+E50</f>
        <v>15810</v>
      </c>
      <c r="F70" s="133">
        <f>+F10+F50</f>
        <v>0</v>
      </c>
      <c r="H70" s="143">
        <f t="shared" si="0"/>
        <v>0</v>
      </c>
    </row>
    <row r="71" spans="1:8" s="143" customFormat="1" ht="12.75" thickBot="1">
      <c r="A71" s="1113" t="s">
        <v>10</v>
      </c>
      <c r="B71" s="1137" t="s">
        <v>304</v>
      </c>
      <c r="C71" s="130">
        <f>+C72</f>
        <v>-1300</v>
      </c>
      <c r="D71" s="131">
        <f>+D72</f>
        <v>0</v>
      </c>
      <c r="E71" s="132">
        <f>+E72</f>
        <v>-1300</v>
      </c>
      <c r="F71" s="133">
        <f>+F72</f>
        <v>0</v>
      </c>
      <c r="H71" s="143">
        <f t="shared" si="0"/>
        <v>0</v>
      </c>
    </row>
    <row r="72" spans="1:8" s="143" customFormat="1" ht="12.75" thickBot="1">
      <c r="A72" s="1113" t="s">
        <v>9</v>
      </c>
      <c r="B72" s="1121" t="s">
        <v>926</v>
      </c>
      <c r="C72" s="130">
        <f>+C73+C83+C84+C85</f>
        <v>-1300</v>
      </c>
      <c r="D72" s="131">
        <f>+D73+D83+D84+D85</f>
        <v>0</v>
      </c>
      <c r="E72" s="132">
        <f>+E73+E83+E84+E85</f>
        <v>-1300</v>
      </c>
      <c r="F72" s="133">
        <f>+F73+F83+F84+F85</f>
        <v>0</v>
      </c>
      <c r="H72" s="143">
        <f t="shared" si="0"/>
        <v>0</v>
      </c>
    </row>
    <row r="73" spans="1:8">
      <c r="A73" s="1122" t="s">
        <v>73</v>
      </c>
      <c r="B73" s="135" t="s">
        <v>921</v>
      </c>
      <c r="C73" s="136">
        <f>+C74+C75+C76+C77+C78+C79+C80+C81+C82</f>
        <v>-1300</v>
      </c>
      <c r="D73" s="137">
        <f>+D74+D75+D76+D77+D78+D79+D80+D81+D82</f>
        <v>0</v>
      </c>
      <c r="E73" s="138">
        <f>+E74+E75+E76+E77+E78+E79+E80+E81+E82</f>
        <v>-1300</v>
      </c>
      <c r="F73" s="139">
        <f>+F74+F75+F76+F77+F78+F79+F80+F81+F82</f>
        <v>0</v>
      </c>
      <c r="H73" s="141">
        <f t="shared" si="0"/>
        <v>0</v>
      </c>
    </row>
    <row r="74" spans="1:8" s="140" customFormat="1">
      <c r="A74" s="127" t="s">
        <v>196</v>
      </c>
      <c r="B74" s="128" t="s">
        <v>920</v>
      </c>
      <c r="C74" s="134">
        <f t="shared" ref="C74:C84" si="5">+D74+E74+F74</f>
        <v>0</v>
      </c>
      <c r="D74" s="769"/>
      <c r="E74" s="770"/>
      <c r="F74" s="771"/>
      <c r="H74" s="140">
        <f t="shared" si="0"/>
        <v>0</v>
      </c>
    </row>
    <row r="75" spans="1:8" s="140" customFormat="1">
      <c r="A75" s="127" t="s">
        <v>197</v>
      </c>
      <c r="B75" s="128" t="s">
        <v>247</v>
      </c>
      <c r="C75" s="134">
        <f t="shared" si="5"/>
        <v>0</v>
      </c>
      <c r="D75" s="769"/>
      <c r="E75" s="770"/>
      <c r="F75" s="771"/>
      <c r="H75" s="140">
        <f t="shared" ref="H75:H138" si="6">+C75-D75-E75-F75</f>
        <v>0</v>
      </c>
    </row>
    <row r="76" spans="1:8" s="140" customFormat="1">
      <c r="A76" s="127" t="s">
        <v>198</v>
      </c>
      <c r="B76" s="128" t="s">
        <v>248</v>
      </c>
      <c r="C76" s="134">
        <f t="shared" si="5"/>
        <v>0</v>
      </c>
      <c r="D76" s="769"/>
      <c r="E76" s="770"/>
      <c r="F76" s="771"/>
      <c r="H76" s="140">
        <f t="shared" si="6"/>
        <v>0</v>
      </c>
    </row>
    <row r="77" spans="1:8" s="140" customFormat="1">
      <c r="A77" s="127" t="s">
        <v>199</v>
      </c>
      <c r="B77" s="128" t="s">
        <v>249</v>
      </c>
      <c r="C77" s="134">
        <f t="shared" si="5"/>
        <v>0</v>
      </c>
      <c r="D77" s="769"/>
      <c r="E77" s="770"/>
      <c r="F77" s="771"/>
      <c r="H77" s="140">
        <f t="shared" si="6"/>
        <v>0</v>
      </c>
    </row>
    <row r="78" spans="1:8" s="140" customFormat="1">
      <c r="A78" s="127" t="s">
        <v>200</v>
      </c>
      <c r="B78" s="128" t="s">
        <v>250</v>
      </c>
      <c r="C78" s="134">
        <f t="shared" si="5"/>
        <v>0</v>
      </c>
      <c r="D78" s="769"/>
      <c r="E78" s="770"/>
      <c r="F78" s="771"/>
      <c r="H78" s="140">
        <f t="shared" si="6"/>
        <v>0</v>
      </c>
    </row>
    <row r="79" spans="1:8" s="140" customFormat="1">
      <c r="A79" s="127" t="s">
        <v>201</v>
      </c>
      <c r="B79" s="128" t="s">
        <v>251</v>
      </c>
      <c r="C79" s="134">
        <f t="shared" si="5"/>
        <v>-1300</v>
      </c>
      <c r="D79" s="769">
        <f>+D109-D10+D178-D74-D75-D76-D77-D78-D80-D81-D83-D84-D85</f>
        <v>0</v>
      </c>
      <c r="E79" s="770">
        <f>+E109-E10+E178-E74-E75-E76-E77-E78-E80-E81-E83-E84-E85</f>
        <v>-1300</v>
      </c>
      <c r="F79" s="771">
        <f>+F109-F10+F178-F74-F75-F76-F77-F78-F80-F81-F83-F84-F85</f>
        <v>0</v>
      </c>
      <c r="H79" s="140">
        <f t="shared" si="6"/>
        <v>0</v>
      </c>
    </row>
    <row r="80" spans="1:8" s="140" customFormat="1">
      <c r="A80" s="127" t="s">
        <v>204</v>
      </c>
      <c r="B80" s="128" t="s">
        <v>252</v>
      </c>
      <c r="C80" s="134">
        <f t="shared" si="5"/>
        <v>0</v>
      </c>
      <c r="D80" s="769"/>
      <c r="E80" s="770"/>
      <c r="F80" s="771"/>
      <c r="H80" s="140">
        <f t="shared" si="6"/>
        <v>0</v>
      </c>
    </row>
    <row r="81" spans="1:8" s="140" customFormat="1">
      <c r="A81" s="127" t="s">
        <v>202</v>
      </c>
      <c r="B81" s="128" t="s">
        <v>245</v>
      </c>
      <c r="C81" s="134">
        <f t="shared" si="5"/>
        <v>0</v>
      </c>
      <c r="D81" s="769"/>
      <c r="E81" s="770"/>
      <c r="F81" s="771"/>
      <c r="H81" s="140">
        <f t="shared" si="6"/>
        <v>0</v>
      </c>
    </row>
    <row r="82" spans="1:8" s="140" customFormat="1">
      <c r="A82" s="127" t="s">
        <v>922</v>
      </c>
      <c r="B82" s="128" t="s">
        <v>923</v>
      </c>
      <c r="C82" s="134">
        <f>+D82+E82+F82</f>
        <v>0</v>
      </c>
      <c r="D82" s="769"/>
      <c r="E82" s="770"/>
      <c r="F82" s="771"/>
      <c r="H82" s="140">
        <f t="shared" si="6"/>
        <v>0</v>
      </c>
    </row>
    <row r="83" spans="1:8">
      <c r="A83" s="1126" t="s">
        <v>74</v>
      </c>
      <c r="B83" s="1127" t="s">
        <v>243</v>
      </c>
      <c r="C83" s="129">
        <f t="shared" si="5"/>
        <v>0</v>
      </c>
      <c r="D83" s="1094"/>
      <c r="E83" s="1095"/>
      <c r="F83" s="1096"/>
      <c r="H83" s="141">
        <f t="shared" si="6"/>
        <v>0</v>
      </c>
    </row>
    <row r="84" spans="1:8">
      <c r="A84" s="1128" t="s">
        <v>203</v>
      </c>
      <c r="B84" s="1129" t="s">
        <v>244</v>
      </c>
      <c r="C84" s="142">
        <f t="shared" si="5"/>
        <v>0</v>
      </c>
      <c r="D84" s="1097"/>
      <c r="E84" s="1098"/>
      <c r="F84" s="1099"/>
      <c r="H84" s="141">
        <f t="shared" si="6"/>
        <v>0</v>
      </c>
    </row>
    <row r="85" spans="1:8" ht="12.75" thickBot="1">
      <c r="A85" s="1128" t="s">
        <v>924</v>
      </c>
      <c r="B85" s="1129" t="s">
        <v>925</v>
      </c>
      <c r="C85" s="142">
        <f>+D85+E85+F85</f>
        <v>0</v>
      </c>
      <c r="D85" s="1097"/>
      <c r="E85" s="1098"/>
      <c r="F85" s="1099"/>
      <c r="H85" s="141">
        <f t="shared" si="6"/>
        <v>0</v>
      </c>
    </row>
    <row r="86" spans="1:8" s="143" customFormat="1" ht="12.75" thickBot="1">
      <c r="A86" s="1113" t="s">
        <v>45</v>
      </c>
      <c r="B86" s="1137" t="s">
        <v>305</v>
      </c>
      <c r="C86" s="130">
        <f>+C87</f>
        <v>1300</v>
      </c>
      <c r="D86" s="131">
        <f>+D87</f>
        <v>0</v>
      </c>
      <c r="E86" s="132">
        <f>+E87</f>
        <v>1300</v>
      </c>
      <c r="F86" s="133">
        <f>+F87</f>
        <v>0</v>
      </c>
      <c r="H86" s="143">
        <f t="shared" si="6"/>
        <v>0</v>
      </c>
    </row>
    <row r="87" spans="1:8" s="143" customFormat="1" ht="12.75" thickBot="1">
      <c r="A87" s="1113" t="s">
        <v>44</v>
      </c>
      <c r="B87" s="1121" t="s">
        <v>928</v>
      </c>
      <c r="C87" s="130">
        <f>+C88+C98+C99+C100</f>
        <v>1300</v>
      </c>
      <c r="D87" s="131">
        <f>+D88+D98+D99+D100</f>
        <v>0</v>
      </c>
      <c r="E87" s="132">
        <f>+E88+E98+E99+E100</f>
        <v>1300</v>
      </c>
      <c r="F87" s="133">
        <f>+F88+F98+F99+F100</f>
        <v>0</v>
      </c>
      <c r="H87" s="143">
        <f t="shared" si="6"/>
        <v>0</v>
      </c>
    </row>
    <row r="88" spans="1:8">
      <c r="A88" s="1122" t="s">
        <v>232</v>
      </c>
      <c r="B88" s="135" t="s">
        <v>983</v>
      </c>
      <c r="C88" s="136">
        <f>+C89+C90+C91+C92+C93+C94+C95+C96+C97</f>
        <v>1300</v>
      </c>
      <c r="D88" s="137">
        <f>+D89+D90+D91+D92+D93+D94+D95+D96+D97</f>
        <v>0</v>
      </c>
      <c r="E88" s="138">
        <f>+E89+E90+E91+E92+E93+E94+E95+E96+E97</f>
        <v>1300</v>
      </c>
      <c r="F88" s="139">
        <f>+F89+F90+F91+F92+F93+F94+F95+F96+F97</f>
        <v>0</v>
      </c>
      <c r="H88" s="141">
        <f t="shared" si="6"/>
        <v>0</v>
      </c>
    </row>
    <row r="89" spans="1:8" s="140" customFormat="1">
      <c r="A89" s="127" t="s">
        <v>233</v>
      </c>
      <c r="B89" s="128" t="s">
        <v>920</v>
      </c>
      <c r="C89" s="134">
        <f t="shared" ref="C89:C99" si="7">+D89+E89+F89</f>
        <v>0</v>
      </c>
      <c r="D89" s="769"/>
      <c r="E89" s="770"/>
      <c r="F89" s="771"/>
      <c r="H89" s="140">
        <f t="shared" si="6"/>
        <v>0</v>
      </c>
    </row>
    <row r="90" spans="1:8" s="140" customFormat="1">
      <c r="A90" s="127" t="s">
        <v>234</v>
      </c>
      <c r="B90" s="128" t="s">
        <v>247</v>
      </c>
      <c r="C90" s="134">
        <f t="shared" si="7"/>
        <v>0</v>
      </c>
      <c r="D90" s="769"/>
      <c r="E90" s="770"/>
      <c r="F90" s="771"/>
      <c r="H90" s="140">
        <f t="shared" si="6"/>
        <v>0</v>
      </c>
    </row>
    <row r="91" spans="1:8" s="140" customFormat="1">
      <c r="A91" s="127" t="s">
        <v>235</v>
      </c>
      <c r="B91" s="128" t="s">
        <v>248</v>
      </c>
      <c r="C91" s="134">
        <f t="shared" si="7"/>
        <v>0</v>
      </c>
      <c r="D91" s="769"/>
      <c r="E91" s="770"/>
      <c r="F91" s="771"/>
      <c r="H91" s="140">
        <f t="shared" si="6"/>
        <v>0</v>
      </c>
    </row>
    <row r="92" spans="1:8" s="140" customFormat="1">
      <c r="A92" s="127" t="s">
        <v>236</v>
      </c>
      <c r="B92" s="128" t="s">
        <v>249</v>
      </c>
      <c r="C92" s="134">
        <f t="shared" si="7"/>
        <v>0</v>
      </c>
      <c r="D92" s="769"/>
      <c r="E92" s="770"/>
      <c r="F92" s="771"/>
      <c r="H92" s="140">
        <f t="shared" si="6"/>
        <v>0</v>
      </c>
    </row>
    <row r="93" spans="1:8" s="140" customFormat="1">
      <c r="A93" s="127" t="s">
        <v>237</v>
      </c>
      <c r="B93" s="128" t="s">
        <v>250</v>
      </c>
      <c r="C93" s="134">
        <f t="shared" si="7"/>
        <v>0</v>
      </c>
      <c r="D93" s="769"/>
      <c r="E93" s="770"/>
      <c r="F93" s="771"/>
      <c r="H93" s="140">
        <f t="shared" si="6"/>
        <v>0</v>
      </c>
    </row>
    <row r="94" spans="1:8" s="140" customFormat="1">
      <c r="A94" s="127" t="s">
        <v>238</v>
      </c>
      <c r="B94" s="128" t="s">
        <v>251</v>
      </c>
      <c r="C94" s="134">
        <f t="shared" si="7"/>
        <v>1300</v>
      </c>
      <c r="D94" s="769">
        <f>+D149-D50+D192-D89-D90-D91-D92-D93-D95-D96-D98-D99-D100</f>
        <v>0</v>
      </c>
      <c r="E94" s="770">
        <f>+E149-E50+E192-E89-E90-E91-E92-E93-E95-E96-E98-E99-E100</f>
        <v>1300</v>
      </c>
      <c r="F94" s="771">
        <f>+F149-F50+F192-F89-F90-F91-F92-F93-F95-F96-F98-F99-F100</f>
        <v>0</v>
      </c>
      <c r="H94" s="140">
        <f t="shared" si="6"/>
        <v>0</v>
      </c>
    </row>
    <row r="95" spans="1:8" s="140" customFormat="1">
      <c r="A95" s="127" t="s">
        <v>239</v>
      </c>
      <c r="B95" s="128" t="s">
        <v>252</v>
      </c>
      <c r="C95" s="134">
        <f t="shared" si="7"/>
        <v>0</v>
      </c>
      <c r="D95" s="769"/>
      <c r="E95" s="770"/>
      <c r="F95" s="771"/>
      <c r="H95" s="140">
        <f t="shared" si="6"/>
        <v>0</v>
      </c>
    </row>
    <row r="96" spans="1:8" s="140" customFormat="1">
      <c r="A96" s="127" t="s">
        <v>240</v>
      </c>
      <c r="B96" s="128" t="s">
        <v>245</v>
      </c>
      <c r="C96" s="134">
        <f t="shared" si="7"/>
        <v>0</v>
      </c>
      <c r="D96" s="769"/>
      <c r="E96" s="770"/>
      <c r="F96" s="771"/>
      <c r="H96" s="140">
        <f t="shared" si="6"/>
        <v>0</v>
      </c>
    </row>
    <row r="97" spans="1:8" s="140" customFormat="1">
      <c r="A97" s="127" t="s">
        <v>927</v>
      </c>
      <c r="B97" s="128" t="s">
        <v>923</v>
      </c>
      <c r="C97" s="134">
        <f>+D97+E97+F97</f>
        <v>0</v>
      </c>
      <c r="D97" s="769"/>
      <c r="E97" s="770"/>
      <c r="F97" s="771"/>
      <c r="H97" s="140">
        <f t="shared" si="6"/>
        <v>0</v>
      </c>
    </row>
    <row r="98" spans="1:8">
      <c r="A98" s="1126" t="s">
        <v>241</v>
      </c>
      <c r="B98" s="1127" t="s">
        <v>243</v>
      </c>
      <c r="C98" s="129">
        <f t="shared" si="7"/>
        <v>0</v>
      </c>
      <c r="D98" s="1094"/>
      <c r="E98" s="1095"/>
      <c r="F98" s="1096"/>
      <c r="H98" s="141">
        <f t="shared" si="6"/>
        <v>0</v>
      </c>
    </row>
    <row r="99" spans="1:8">
      <c r="A99" s="1128" t="s">
        <v>242</v>
      </c>
      <c r="B99" s="1129" t="s">
        <v>244</v>
      </c>
      <c r="C99" s="142">
        <f t="shared" si="7"/>
        <v>0</v>
      </c>
      <c r="D99" s="1097"/>
      <c r="E99" s="1098"/>
      <c r="F99" s="1099"/>
      <c r="H99" s="141">
        <f t="shared" si="6"/>
        <v>0</v>
      </c>
    </row>
    <row r="100" spans="1:8" ht="12.75" thickBot="1">
      <c r="A100" s="1128" t="s">
        <v>929</v>
      </c>
      <c r="B100" s="1129" t="s">
        <v>925</v>
      </c>
      <c r="C100" s="142">
        <f>+D100+E100+F100</f>
        <v>0</v>
      </c>
      <c r="D100" s="1097"/>
      <c r="E100" s="1098"/>
      <c r="F100" s="1099"/>
      <c r="H100" s="141">
        <f t="shared" si="6"/>
        <v>0</v>
      </c>
    </row>
    <row r="101" spans="1:8" s="143" customFormat="1" ht="12.75" thickBot="1">
      <c r="A101" s="1113" t="s">
        <v>43</v>
      </c>
      <c r="B101" s="1136" t="s">
        <v>306</v>
      </c>
      <c r="C101" s="130">
        <f>+C71+C86</f>
        <v>0</v>
      </c>
      <c r="D101" s="131">
        <f>+D71+D86</f>
        <v>0</v>
      </c>
      <c r="E101" s="132">
        <f>+E71+E86</f>
        <v>0</v>
      </c>
      <c r="F101" s="133">
        <f>+F71+F86</f>
        <v>0</v>
      </c>
      <c r="H101" s="143">
        <f t="shared" si="6"/>
        <v>0</v>
      </c>
    </row>
    <row r="102" spans="1:8" s="143" customFormat="1" ht="12.75" thickBot="1">
      <c r="A102" s="1138" t="s">
        <v>40</v>
      </c>
      <c r="B102" s="1139" t="s">
        <v>307</v>
      </c>
      <c r="C102" s="1140">
        <f>+C70+C101</f>
        <v>15810</v>
      </c>
      <c r="D102" s="1141">
        <f>+D70+D101</f>
        <v>0</v>
      </c>
      <c r="E102" s="1142">
        <f>+E70+E101</f>
        <v>15810</v>
      </c>
      <c r="F102" s="1143">
        <f>+F70+F101</f>
        <v>0</v>
      </c>
      <c r="H102" s="143">
        <f t="shared" si="6"/>
        <v>0</v>
      </c>
    </row>
    <row r="103" spans="1:8" s="143" customFormat="1">
      <c r="A103" s="1144"/>
      <c r="B103" s="1145"/>
      <c r="C103" s="1145"/>
      <c r="D103" s="1145"/>
      <c r="E103" s="1145"/>
      <c r="F103" s="1145"/>
    </row>
    <row r="104" spans="1:8" s="143" customFormat="1">
      <c r="A104" s="1144"/>
      <c r="B104" s="1145"/>
      <c r="C104" s="1145"/>
      <c r="D104" s="1145"/>
      <c r="E104" s="1145"/>
      <c r="F104" s="1145"/>
    </row>
    <row r="105" spans="1:8" s="1102" customFormat="1" ht="15.75">
      <c r="A105" s="1441" t="s">
        <v>80</v>
      </c>
      <c r="B105" s="1441"/>
      <c r="C105" s="1441"/>
      <c r="D105" s="1441"/>
      <c r="E105" s="1441"/>
      <c r="F105" s="1441"/>
    </row>
    <row r="106" spans="1:8" s="1104" customFormat="1" ht="12.75" thickBot="1">
      <c r="A106" s="1103" t="s">
        <v>279</v>
      </c>
      <c r="F106" s="1105" t="s">
        <v>281</v>
      </c>
    </row>
    <row r="107" spans="1:8" s="143" customFormat="1" ht="48.75" thickBot="1">
      <c r="A107" s="1106" t="s">
        <v>17</v>
      </c>
      <c r="B107" s="1146" t="s">
        <v>329</v>
      </c>
      <c r="C107" s="1147" t="s">
        <v>1317</v>
      </c>
      <c r="D107" s="1109" t="s">
        <v>51</v>
      </c>
      <c r="E107" s="1110" t="s">
        <v>52</v>
      </c>
      <c r="F107" s="1111" t="s">
        <v>53</v>
      </c>
    </row>
    <row r="108" spans="1:8" s="143" customFormat="1" ht="12.75" thickBot="1">
      <c r="A108" s="1148" t="s">
        <v>253</v>
      </c>
      <c r="B108" s="1149" t="s">
        <v>254</v>
      </c>
      <c r="C108" s="1445" t="s">
        <v>255</v>
      </c>
      <c r="D108" s="1446"/>
      <c r="E108" s="1446"/>
      <c r="F108" s="1447"/>
    </row>
    <row r="109" spans="1:8" s="143" customFormat="1" ht="12.75" thickBot="1">
      <c r="A109" s="1113" t="s">
        <v>4</v>
      </c>
      <c r="B109" s="1136" t="s">
        <v>308</v>
      </c>
      <c r="C109" s="130">
        <f>+C110+C114+C116+C123+C132</f>
        <v>14510</v>
      </c>
      <c r="D109" s="131">
        <f>+D110+D114+D116+D123+D132</f>
        <v>0</v>
      </c>
      <c r="E109" s="132">
        <f>+E110+E114+E116+E123+E132</f>
        <v>14510</v>
      </c>
      <c r="F109" s="133">
        <f>+F110+F114+F116+F123+F132</f>
        <v>0</v>
      </c>
      <c r="H109" s="143">
        <f t="shared" si="6"/>
        <v>0</v>
      </c>
    </row>
    <row r="110" spans="1:8" s="143" customFormat="1" ht="12.75" thickBot="1">
      <c r="A110" s="1113" t="s">
        <v>5</v>
      </c>
      <c r="B110" s="1121" t="s">
        <v>309</v>
      </c>
      <c r="C110" s="130">
        <f>+C112+C113</f>
        <v>8952</v>
      </c>
      <c r="D110" s="131">
        <f>+D112+D113</f>
        <v>0</v>
      </c>
      <c r="E110" s="132">
        <f>+E112+E113</f>
        <v>8952</v>
      </c>
      <c r="F110" s="133">
        <f>+F112+F113</f>
        <v>0</v>
      </c>
      <c r="H110" s="143">
        <f t="shared" si="6"/>
        <v>0</v>
      </c>
    </row>
    <row r="111" spans="1:8" s="1104" customFormat="1">
      <c r="A111" s="1150" t="s">
        <v>349</v>
      </c>
      <c r="B111" s="1151" t="s">
        <v>350</v>
      </c>
      <c r="C111" s="1152">
        <f>+D111+E111+F111</f>
        <v>0</v>
      </c>
      <c r="D111" s="1153"/>
      <c r="E111" s="1154"/>
      <c r="F111" s="1155"/>
      <c r="H111" s="1104">
        <f t="shared" si="6"/>
        <v>0</v>
      </c>
    </row>
    <row r="112" spans="1:8">
      <c r="A112" s="1122" t="s">
        <v>54</v>
      </c>
      <c r="B112" s="135" t="s">
        <v>127</v>
      </c>
      <c r="C112" s="136">
        <f>+D112+E112+F112</f>
        <v>8952</v>
      </c>
      <c r="D112" s="137"/>
      <c r="E112" s="138">
        <v>8952</v>
      </c>
      <c r="F112" s="139"/>
      <c r="H112" s="141">
        <f t="shared" si="6"/>
        <v>0</v>
      </c>
    </row>
    <row r="113" spans="1:8" ht="12.75" thickBot="1">
      <c r="A113" s="1128" t="s">
        <v>55</v>
      </c>
      <c r="B113" s="1129" t="s">
        <v>128</v>
      </c>
      <c r="C113" s="142">
        <f>+D113+E113+F113</f>
        <v>0</v>
      </c>
      <c r="D113" s="1097"/>
      <c r="E113" s="1098"/>
      <c r="F113" s="1099"/>
      <c r="H113" s="141">
        <f t="shared" si="6"/>
        <v>0</v>
      </c>
    </row>
    <row r="114" spans="1:8" s="143" customFormat="1" ht="12.75" thickBot="1">
      <c r="A114" s="1113" t="s">
        <v>6</v>
      </c>
      <c r="B114" s="1121" t="s">
        <v>256</v>
      </c>
      <c r="C114" s="130">
        <f>+D114+E114+F114</f>
        <v>1433</v>
      </c>
      <c r="D114" s="131"/>
      <c r="E114" s="132">
        <v>1433</v>
      </c>
      <c r="F114" s="133"/>
      <c r="H114" s="143">
        <f t="shared" si="6"/>
        <v>0</v>
      </c>
    </row>
    <row r="115" spans="1:8" s="1104" customFormat="1" ht="12.75" thickBot="1">
      <c r="A115" s="1150" t="s">
        <v>346</v>
      </c>
      <c r="B115" s="1151" t="s">
        <v>347</v>
      </c>
      <c r="C115" s="1152">
        <f>+D115+E115+F115</f>
        <v>0</v>
      </c>
      <c r="D115" s="1153"/>
      <c r="E115" s="1154"/>
      <c r="F115" s="1155"/>
      <c r="H115" s="1104">
        <f t="shared" si="6"/>
        <v>0</v>
      </c>
    </row>
    <row r="116" spans="1:8" s="143" customFormat="1" ht="12.75" thickBot="1">
      <c r="A116" s="1113" t="s">
        <v>3</v>
      </c>
      <c r="B116" s="1121" t="s">
        <v>343</v>
      </c>
      <c r="C116" s="130">
        <f>+C118+C119+C120+C121+C122</f>
        <v>1035</v>
      </c>
      <c r="D116" s="131">
        <f>+D118+D119+D120+D121+D122</f>
        <v>0</v>
      </c>
      <c r="E116" s="132">
        <f>+E118+E119+E120+E121+E122</f>
        <v>1035</v>
      </c>
      <c r="F116" s="133">
        <f>+F118+F119+F120+F121+F122</f>
        <v>0</v>
      </c>
      <c r="H116" s="143">
        <f t="shared" si="6"/>
        <v>0</v>
      </c>
    </row>
    <row r="117" spans="1:8" s="1104" customFormat="1">
      <c r="A117" s="1150" t="s">
        <v>341</v>
      </c>
      <c r="B117" s="1151" t="s">
        <v>348</v>
      </c>
      <c r="C117" s="1152">
        <f t="shared" ref="C117:C122" si="8">+D117+E117+F117</f>
        <v>0</v>
      </c>
      <c r="D117" s="1153"/>
      <c r="E117" s="1154"/>
      <c r="F117" s="1155"/>
      <c r="H117" s="1104">
        <f t="shared" si="6"/>
        <v>0</v>
      </c>
    </row>
    <row r="118" spans="1:8">
      <c r="A118" s="1122" t="s">
        <v>61</v>
      </c>
      <c r="B118" s="135" t="s">
        <v>129</v>
      </c>
      <c r="C118" s="136">
        <f t="shared" si="8"/>
        <v>374</v>
      </c>
      <c r="D118" s="137"/>
      <c r="E118" s="138">
        <v>374</v>
      </c>
      <c r="F118" s="139"/>
      <c r="H118" s="141">
        <f t="shared" si="6"/>
        <v>0</v>
      </c>
    </row>
    <row r="119" spans="1:8">
      <c r="A119" s="1126" t="s">
        <v>62</v>
      </c>
      <c r="B119" s="1127" t="s">
        <v>130</v>
      </c>
      <c r="C119" s="129">
        <f t="shared" si="8"/>
        <v>142</v>
      </c>
      <c r="D119" s="1094"/>
      <c r="E119" s="1095">
        <v>142</v>
      </c>
      <c r="F119" s="1096"/>
      <c r="H119" s="141">
        <f t="shared" si="6"/>
        <v>0</v>
      </c>
    </row>
    <row r="120" spans="1:8">
      <c r="A120" s="1126" t="s">
        <v>63</v>
      </c>
      <c r="B120" s="1127" t="s">
        <v>131</v>
      </c>
      <c r="C120" s="129">
        <f t="shared" si="8"/>
        <v>310</v>
      </c>
      <c r="D120" s="1094"/>
      <c r="E120" s="1095">
        <v>310</v>
      </c>
      <c r="F120" s="1096"/>
      <c r="H120" s="141">
        <f t="shared" si="6"/>
        <v>0</v>
      </c>
    </row>
    <row r="121" spans="1:8">
      <c r="A121" s="1126" t="s">
        <v>64</v>
      </c>
      <c r="B121" s="1127" t="s">
        <v>132</v>
      </c>
      <c r="C121" s="129">
        <f t="shared" si="8"/>
        <v>0</v>
      </c>
      <c r="D121" s="1094"/>
      <c r="E121" s="1095"/>
      <c r="F121" s="1096"/>
      <c r="H121" s="141">
        <f t="shared" si="6"/>
        <v>0</v>
      </c>
    </row>
    <row r="122" spans="1:8" ht="12.75" thickBot="1">
      <c r="A122" s="1128" t="s">
        <v>65</v>
      </c>
      <c r="B122" s="1129" t="s">
        <v>133</v>
      </c>
      <c r="C122" s="142">
        <f t="shared" si="8"/>
        <v>209</v>
      </c>
      <c r="D122" s="1097"/>
      <c r="E122" s="1098">
        <v>209</v>
      </c>
      <c r="F122" s="1099"/>
      <c r="H122" s="141">
        <f t="shared" si="6"/>
        <v>0</v>
      </c>
    </row>
    <row r="123" spans="1:8" s="143" customFormat="1" ht="12.75" thickBot="1">
      <c r="A123" s="1113" t="s">
        <v>16</v>
      </c>
      <c r="B123" s="1121" t="s">
        <v>310</v>
      </c>
      <c r="C123" s="130">
        <f>+C124+C125+C126+C127+C128+C129+C130+C131</f>
        <v>0</v>
      </c>
      <c r="D123" s="131">
        <f>+D124+D125+D126+D127+D128+D129+D130+D131</f>
        <v>0</v>
      </c>
      <c r="E123" s="132">
        <f>+E124+E125+E126+E127+E128+E129+E130+E131</f>
        <v>0</v>
      </c>
      <c r="F123" s="133">
        <f>+F124+F125+F126+F127+F128+F129+F130+F131</f>
        <v>0</v>
      </c>
      <c r="H123" s="143">
        <f t="shared" si="6"/>
        <v>0</v>
      </c>
    </row>
    <row r="124" spans="1:8">
      <c r="A124" s="1122" t="s">
        <v>227</v>
      </c>
      <c r="B124" s="135" t="s">
        <v>134</v>
      </c>
      <c r="C124" s="136">
        <f t="shared" ref="C124:C131" si="9">+D124+E124+F124</f>
        <v>0</v>
      </c>
      <c r="D124" s="137"/>
      <c r="E124" s="138"/>
      <c r="F124" s="139"/>
      <c r="H124" s="141">
        <f t="shared" si="6"/>
        <v>0</v>
      </c>
    </row>
    <row r="125" spans="1:8">
      <c r="A125" s="1126" t="s">
        <v>228</v>
      </c>
      <c r="B125" s="1127" t="s">
        <v>135</v>
      </c>
      <c r="C125" s="129">
        <f t="shared" si="9"/>
        <v>0</v>
      </c>
      <c r="D125" s="1094"/>
      <c r="E125" s="1095"/>
      <c r="F125" s="1096"/>
      <c r="H125" s="141">
        <f t="shared" si="6"/>
        <v>0</v>
      </c>
    </row>
    <row r="126" spans="1:8">
      <c r="A126" s="1126" t="s">
        <v>229</v>
      </c>
      <c r="B126" s="1127" t="s">
        <v>136</v>
      </c>
      <c r="C126" s="129">
        <f t="shared" si="9"/>
        <v>0</v>
      </c>
      <c r="D126" s="1094"/>
      <c r="E126" s="1095"/>
      <c r="F126" s="1096"/>
      <c r="H126" s="141">
        <f t="shared" si="6"/>
        <v>0</v>
      </c>
    </row>
    <row r="127" spans="1:8">
      <c r="A127" s="1126" t="s">
        <v>257</v>
      </c>
      <c r="B127" s="1127" t="s">
        <v>137</v>
      </c>
      <c r="C127" s="129">
        <f t="shared" si="9"/>
        <v>0</v>
      </c>
      <c r="D127" s="1094"/>
      <c r="E127" s="1095"/>
      <c r="F127" s="1096"/>
      <c r="H127" s="141">
        <f t="shared" si="6"/>
        <v>0</v>
      </c>
    </row>
    <row r="128" spans="1:8">
      <c r="A128" s="1126" t="s">
        <v>258</v>
      </c>
      <c r="B128" s="1127" t="s">
        <v>138</v>
      </c>
      <c r="C128" s="129">
        <f t="shared" si="9"/>
        <v>0</v>
      </c>
      <c r="D128" s="1094"/>
      <c r="E128" s="1095"/>
      <c r="F128" s="1096"/>
      <c r="H128" s="141">
        <f t="shared" si="6"/>
        <v>0</v>
      </c>
    </row>
    <row r="129" spans="1:8">
      <c r="A129" s="1126" t="s">
        <v>259</v>
      </c>
      <c r="B129" s="1127" t="s">
        <v>139</v>
      </c>
      <c r="C129" s="129">
        <f t="shared" si="9"/>
        <v>0</v>
      </c>
      <c r="D129" s="1094"/>
      <c r="E129" s="1095"/>
      <c r="F129" s="1096"/>
      <c r="H129" s="141">
        <f t="shared" si="6"/>
        <v>0</v>
      </c>
    </row>
    <row r="130" spans="1:8">
      <c r="A130" s="1126" t="s">
        <v>260</v>
      </c>
      <c r="B130" s="1127" t="s">
        <v>140</v>
      </c>
      <c r="C130" s="129">
        <f t="shared" si="9"/>
        <v>0</v>
      </c>
      <c r="D130" s="1094"/>
      <c r="E130" s="1095"/>
      <c r="F130" s="1096"/>
      <c r="H130" s="141">
        <f t="shared" si="6"/>
        <v>0</v>
      </c>
    </row>
    <row r="131" spans="1:8" ht="12.75" thickBot="1">
      <c r="A131" s="1128" t="s">
        <v>261</v>
      </c>
      <c r="B131" s="1129" t="s">
        <v>141</v>
      </c>
      <c r="C131" s="142">
        <f t="shared" si="9"/>
        <v>0</v>
      </c>
      <c r="D131" s="1097"/>
      <c r="E131" s="1098"/>
      <c r="F131" s="1099"/>
      <c r="H131" s="141">
        <f t="shared" si="6"/>
        <v>0</v>
      </c>
    </row>
    <row r="132" spans="1:8" s="143" customFormat="1" ht="12.75" thickBot="1">
      <c r="A132" s="1113" t="s">
        <v>15</v>
      </c>
      <c r="B132" s="1121" t="s">
        <v>933</v>
      </c>
      <c r="C132" s="130">
        <f>+C133+C134+C135+C136+C137+C138+C140+C141+C142+C143+C144+C145+C146</f>
        <v>3090</v>
      </c>
      <c r="D132" s="131">
        <f>+D133+D134+D135+D136+D137+D138+D140+D141+D142+D143+D144+D145+D146</f>
        <v>0</v>
      </c>
      <c r="E132" s="132">
        <f>+E133+E134+E135+E136+E137+E138+E140+E141+E142+E143+E144+E145+E146</f>
        <v>3090</v>
      </c>
      <c r="F132" s="133">
        <f>+F133+F134+F135+F136+F137+F138+F140+F141+F142+F143+F144+F145+F146</f>
        <v>0</v>
      </c>
      <c r="H132" s="143">
        <f t="shared" si="6"/>
        <v>0</v>
      </c>
    </row>
    <row r="133" spans="1:8">
      <c r="A133" s="1122" t="s">
        <v>87</v>
      </c>
      <c r="B133" s="135" t="s">
        <v>142</v>
      </c>
      <c r="C133" s="136">
        <f t="shared" ref="C133:C145" si="10">+D133+E133+F133</f>
        <v>0</v>
      </c>
      <c r="D133" s="137"/>
      <c r="E133" s="138"/>
      <c r="F133" s="139"/>
      <c r="H133" s="141">
        <f t="shared" si="6"/>
        <v>0</v>
      </c>
    </row>
    <row r="134" spans="1:8">
      <c r="A134" s="1126" t="s">
        <v>88</v>
      </c>
      <c r="B134" s="1127" t="s">
        <v>143</v>
      </c>
      <c r="C134" s="129">
        <f t="shared" si="10"/>
        <v>3090</v>
      </c>
      <c r="D134" s="1094"/>
      <c r="E134" s="1095">
        <v>3090</v>
      </c>
      <c r="F134" s="1096"/>
      <c r="H134" s="141">
        <f t="shared" si="6"/>
        <v>0</v>
      </c>
    </row>
    <row r="135" spans="1:8">
      <c r="A135" s="1126" t="s">
        <v>182</v>
      </c>
      <c r="B135" s="1127" t="s">
        <v>144</v>
      </c>
      <c r="C135" s="129">
        <f t="shared" si="10"/>
        <v>0</v>
      </c>
      <c r="D135" s="1094"/>
      <c r="E135" s="1095"/>
      <c r="F135" s="1096"/>
      <c r="H135" s="141">
        <f t="shared" si="6"/>
        <v>0</v>
      </c>
    </row>
    <row r="136" spans="1:8">
      <c r="A136" s="1126" t="s">
        <v>183</v>
      </c>
      <c r="B136" s="1127" t="s">
        <v>145</v>
      </c>
      <c r="C136" s="129">
        <f t="shared" si="10"/>
        <v>0</v>
      </c>
      <c r="D136" s="1094"/>
      <c r="E136" s="1095"/>
      <c r="F136" s="1096"/>
      <c r="H136" s="141">
        <f t="shared" si="6"/>
        <v>0</v>
      </c>
    </row>
    <row r="137" spans="1:8">
      <c r="A137" s="1126" t="s">
        <v>184</v>
      </c>
      <c r="B137" s="1127" t="s">
        <v>146</v>
      </c>
      <c r="C137" s="129">
        <f t="shared" si="10"/>
        <v>0</v>
      </c>
      <c r="D137" s="1094"/>
      <c r="E137" s="1095"/>
      <c r="F137" s="1096"/>
      <c r="H137" s="141">
        <f t="shared" si="6"/>
        <v>0</v>
      </c>
    </row>
    <row r="138" spans="1:8">
      <c r="A138" s="1126" t="s">
        <v>262</v>
      </c>
      <c r="B138" s="1127" t="s">
        <v>147</v>
      </c>
      <c r="C138" s="129">
        <f t="shared" si="10"/>
        <v>0</v>
      </c>
      <c r="D138" s="1094"/>
      <c r="E138" s="1095"/>
      <c r="F138" s="1096"/>
      <c r="H138" s="141">
        <f t="shared" si="6"/>
        <v>0</v>
      </c>
    </row>
    <row r="139" spans="1:8" s="140" customFormat="1">
      <c r="A139" s="1130" t="s">
        <v>336</v>
      </c>
      <c r="B139" s="1131" t="s">
        <v>939</v>
      </c>
      <c r="C139" s="1132">
        <f t="shared" si="10"/>
        <v>0</v>
      </c>
      <c r="D139" s="1133"/>
      <c r="E139" s="1134"/>
      <c r="F139" s="1135"/>
      <c r="H139" s="140">
        <f t="shared" ref="H139:H202" si="11">+C139-D139-E139-F139</f>
        <v>0</v>
      </c>
    </row>
    <row r="140" spans="1:8">
      <c r="A140" s="1126" t="s">
        <v>263</v>
      </c>
      <c r="B140" s="1127" t="s">
        <v>148</v>
      </c>
      <c r="C140" s="129">
        <f t="shared" si="10"/>
        <v>0</v>
      </c>
      <c r="D140" s="1094"/>
      <c r="E140" s="1095"/>
      <c r="F140" s="1096"/>
      <c r="H140" s="141">
        <f t="shared" si="11"/>
        <v>0</v>
      </c>
    </row>
    <row r="141" spans="1:8">
      <c r="A141" s="1126" t="s">
        <v>264</v>
      </c>
      <c r="B141" s="1127" t="s">
        <v>149</v>
      </c>
      <c r="C141" s="129">
        <f t="shared" si="10"/>
        <v>0</v>
      </c>
      <c r="D141" s="1094"/>
      <c r="E141" s="1095"/>
      <c r="F141" s="1096"/>
      <c r="H141" s="141">
        <f t="shared" si="11"/>
        <v>0</v>
      </c>
    </row>
    <row r="142" spans="1:8">
      <c r="A142" s="1126" t="s">
        <v>265</v>
      </c>
      <c r="B142" s="1127" t="s">
        <v>150</v>
      </c>
      <c r="C142" s="129">
        <f t="shared" si="10"/>
        <v>0</v>
      </c>
      <c r="D142" s="1094"/>
      <c r="E142" s="1095"/>
      <c r="F142" s="1096"/>
      <c r="H142" s="141">
        <f t="shared" si="11"/>
        <v>0</v>
      </c>
    </row>
    <row r="143" spans="1:8">
      <c r="A143" s="1126" t="s">
        <v>266</v>
      </c>
      <c r="B143" s="1127" t="s">
        <v>151</v>
      </c>
      <c r="C143" s="129">
        <f t="shared" si="10"/>
        <v>0</v>
      </c>
      <c r="D143" s="1094"/>
      <c r="E143" s="1095"/>
      <c r="F143" s="1096"/>
      <c r="H143" s="141">
        <f t="shared" si="11"/>
        <v>0</v>
      </c>
    </row>
    <row r="144" spans="1:8">
      <c r="A144" s="1126" t="s">
        <v>267</v>
      </c>
      <c r="B144" s="1127" t="s">
        <v>934</v>
      </c>
      <c r="C144" s="129">
        <f>+D144+E144+F144</f>
        <v>0</v>
      </c>
      <c r="D144" s="1094"/>
      <c r="E144" s="1095"/>
      <c r="F144" s="1096"/>
      <c r="H144" s="141">
        <f t="shared" si="11"/>
        <v>0</v>
      </c>
    </row>
    <row r="145" spans="1:8">
      <c r="A145" s="1126" t="s">
        <v>268</v>
      </c>
      <c r="B145" s="1127" t="s">
        <v>935</v>
      </c>
      <c r="C145" s="129">
        <f t="shared" si="10"/>
        <v>0</v>
      </c>
      <c r="D145" s="1094"/>
      <c r="E145" s="1095"/>
      <c r="F145" s="1096"/>
      <c r="H145" s="141">
        <f t="shared" si="11"/>
        <v>0</v>
      </c>
    </row>
    <row r="146" spans="1:8">
      <c r="A146" s="1128" t="s">
        <v>930</v>
      </c>
      <c r="B146" s="1129" t="s">
        <v>936</v>
      </c>
      <c r="C146" s="142">
        <f>+C147+C148</f>
        <v>0</v>
      </c>
      <c r="D146" s="1097">
        <f>+D147+D148</f>
        <v>0</v>
      </c>
      <c r="E146" s="1098">
        <f>+E147+E148</f>
        <v>0</v>
      </c>
      <c r="F146" s="1099">
        <f>+F147+F148</f>
        <v>0</v>
      </c>
      <c r="H146" s="141">
        <f t="shared" si="11"/>
        <v>0</v>
      </c>
    </row>
    <row r="147" spans="1:8" s="140" customFormat="1">
      <c r="A147" s="1130" t="s">
        <v>931</v>
      </c>
      <c r="B147" s="1156" t="s">
        <v>937</v>
      </c>
      <c r="C147" s="1132">
        <f>+D147+E147+F147</f>
        <v>0</v>
      </c>
      <c r="D147" s="1133"/>
      <c r="E147" s="1134"/>
      <c r="F147" s="1135"/>
      <c r="H147" s="140">
        <f t="shared" si="11"/>
        <v>0</v>
      </c>
    </row>
    <row r="148" spans="1:8" s="140" customFormat="1" ht="12.75" thickBot="1">
      <c r="A148" s="1130" t="s">
        <v>932</v>
      </c>
      <c r="B148" s="1156" t="s">
        <v>938</v>
      </c>
      <c r="C148" s="1132">
        <f>+D148+E148+F148</f>
        <v>0</v>
      </c>
      <c r="D148" s="1133"/>
      <c r="E148" s="1134"/>
      <c r="F148" s="1135"/>
      <c r="H148" s="140">
        <f t="shared" si="11"/>
        <v>0</v>
      </c>
    </row>
    <row r="149" spans="1:8" s="143" customFormat="1" ht="12.75" thickBot="1">
      <c r="A149" s="1113" t="s">
        <v>14</v>
      </c>
      <c r="B149" s="1136" t="s">
        <v>311</v>
      </c>
      <c r="C149" s="130">
        <f>+C150+C159+C165</f>
        <v>1300</v>
      </c>
      <c r="D149" s="131">
        <f>+D150+D159+D165</f>
        <v>0</v>
      </c>
      <c r="E149" s="132">
        <f>+E150+E159+E165</f>
        <v>1300</v>
      </c>
      <c r="F149" s="133">
        <f>+F150+F159+F165</f>
        <v>0</v>
      </c>
      <c r="H149" s="143">
        <f t="shared" si="11"/>
        <v>0</v>
      </c>
    </row>
    <row r="150" spans="1:8" s="143" customFormat="1" ht="12.75" thickBot="1">
      <c r="A150" s="1113" t="s">
        <v>13</v>
      </c>
      <c r="B150" s="1121" t="s">
        <v>312</v>
      </c>
      <c r="C150" s="130">
        <f>+C152+C153+C154+C155+C156+C157+C158</f>
        <v>1300</v>
      </c>
      <c r="D150" s="131">
        <f>+D152+D153+D154+D155+D156+D157+D158</f>
        <v>0</v>
      </c>
      <c r="E150" s="132">
        <f>+E152+E153+E154+E155+E156+E157+E158</f>
        <v>1300</v>
      </c>
      <c r="F150" s="133">
        <f>+F152+F153+F154+F155+F156+F157+F158</f>
        <v>0</v>
      </c>
      <c r="H150" s="143">
        <f t="shared" si="11"/>
        <v>0</v>
      </c>
    </row>
    <row r="151" spans="1:8" s="1104" customFormat="1">
      <c r="A151" s="1150" t="s">
        <v>940</v>
      </c>
      <c r="B151" s="1151" t="s">
        <v>342</v>
      </c>
      <c r="C151" s="1152">
        <f t="shared" ref="C151:C158" si="12">+D151+E151+F151</f>
        <v>0</v>
      </c>
      <c r="D151" s="1153"/>
      <c r="E151" s="1154"/>
      <c r="F151" s="1155"/>
      <c r="H151" s="1104">
        <f t="shared" si="11"/>
        <v>0</v>
      </c>
    </row>
    <row r="152" spans="1:8">
      <c r="A152" s="1122" t="s">
        <v>66</v>
      </c>
      <c r="B152" s="135" t="s">
        <v>152</v>
      </c>
      <c r="C152" s="136">
        <f t="shared" si="12"/>
        <v>0</v>
      </c>
      <c r="D152" s="137"/>
      <c r="E152" s="138"/>
      <c r="F152" s="139"/>
      <c r="H152" s="141">
        <f t="shared" si="11"/>
        <v>0</v>
      </c>
    </row>
    <row r="153" spans="1:8">
      <c r="A153" s="1126" t="s">
        <v>67</v>
      </c>
      <c r="B153" s="1127" t="s">
        <v>153</v>
      </c>
      <c r="C153" s="129">
        <f t="shared" si="12"/>
        <v>0</v>
      </c>
      <c r="D153" s="1094"/>
      <c r="E153" s="1095"/>
      <c r="F153" s="1096"/>
      <c r="H153" s="141">
        <f t="shared" si="11"/>
        <v>0</v>
      </c>
    </row>
    <row r="154" spans="1:8">
      <c r="A154" s="1126" t="s">
        <v>68</v>
      </c>
      <c r="B154" s="1127" t="s">
        <v>154</v>
      </c>
      <c r="C154" s="129">
        <f t="shared" si="12"/>
        <v>0</v>
      </c>
      <c r="D154" s="1094"/>
      <c r="E154" s="1095"/>
      <c r="F154" s="1096"/>
      <c r="H154" s="141">
        <f t="shared" si="11"/>
        <v>0</v>
      </c>
    </row>
    <row r="155" spans="1:8">
      <c r="A155" s="1126" t="s">
        <v>230</v>
      </c>
      <c r="B155" s="1127" t="s">
        <v>155</v>
      </c>
      <c r="C155" s="129">
        <f t="shared" si="12"/>
        <v>1024</v>
      </c>
      <c r="D155" s="1094"/>
      <c r="E155" s="1095">
        <v>1024</v>
      </c>
      <c r="F155" s="1096"/>
      <c r="H155" s="141">
        <f t="shared" si="11"/>
        <v>0</v>
      </c>
    </row>
    <row r="156" spans="1:8">
      <c r="A156" s="1126" t="s">
        <v>231</v>
      </c>
      <c r="B156" s="1127" t="s">
        <v>156</v>
      </c>
      <c r="C156" s="129">
        <f t="shared" si="12"/>
        <v>0</v>
      </c>
      <c r="D156" s="1094"/>
      <c r="E156" s="1095"/>
      <c r="F156" s="1096"/>
      <c r="H156" s="141">
        <f t="shared" si="11"/>
        <v>0</v>
      </c>
    </row>
    <row r="157" spans="1:8">
      <c r="A157" s="1126" t="s">
        <v>269</v>
      </c>
      <c r="B157" s="1127" t="s">
        <v>157</v>
      </c>
      <c r="C157" s="129">
        <f t="shared" si="12"/>
        <v>0</v>
      </c>
      <c r="D157" s="1094"/>
      <c r="E157" s="1095"/>
      <c r="F157" s="1096"/>
      <c r="H157" s="141">
        <f t="shared" si="11"/>
        <v>0</v>
      </c>
    </row>
    <row r="158" spans="1:8" ht="12.75" thickBot="1">
      <c r="A158" s="1128" t="s">
        <v>270</v>
      </c>
      <c r="B158" s="1129" t="s">
        <v>158</v>
      </c>
      <c r="C158" s="142">
        <f t="shared" si="12"/>
        <v>276</v>
      </c>
      <c r="D158" s="1097"/>
      <c r="E158" s="1098">
        <v>276</v>
      </c>
      <c r="F158" s="1099"/>
      <c r="H158" s="141">
        <f t="shared" si="11"/>
        <v>0</v>
      </c>
    </row>
    <row r="159" spans="1:8" s="143" customFormat="1" ht="12.75" thickBot="1">
      <c r="A159" s="1113" t="s">
        <v>12</v>
      </c>
      <c r="B159" s="1121" t="s">
        <v>313</v>
      </c>
      <c r="C159" s="130">
        <f>+C161+C162+C163+C164</f>
        <v>0</v>
      </c>
      <c r="D159" s="131">
        <f>+D161+D162+D163+D164</f>
        <v>0</v>
      </c>
      <c r="E159" s="132">
        <f>+E161+E162+E163+E164</f>
        <v>0</v>
      </c>
      <c r="F159" s="133">
        <f>+F161+F162+F163+F164</f>
        <v>0</v>
      </c>
      <c r="H159" s="143">
        <f t="shared" si="11"/>
        <v>0</v>
      </c>
    </row>
    <row r="160" spans="1:8" s="1104" customFormat="1">
      <c r="A160" s="1150" t="s">
        <v>344</v>
      </c>
      <c r="B160" s="1151" t="s">
        <v>345</v>
      </c>
      <c r="C160" s="1152">
        <f>+D160+E160+F160</f>
        <v>0</v>
      </c>
      <c r="D160" s="1153"/>
      <c r="E160" s="1154"/>
      <c r="F160" s="1155"/>
      <c r="H160" s="1104">
        <f t="shared" si="11"/>
        <v>0</v>
      </c>
    </row>
    <row r="161" spans="1:8">
      <c r="A161" s="1122" t="s">
        <v>69</v>
      </c>
      <c r="B161" s="135" t="s">
        <v>159</v>
      </c>
      <c r="C161" s="136">
        <f>+D161+E161+F161</f>
        <v>0</v>
      </c>
      <c r="D161" s="137"/>
      <c r="E161" s="138"/>
      <c r="F161" s="139"/>
      <c r="H161" s="141">
        <f t="shared" si="11"/>
        <v>0</v>
      </c>
    </row>
    <row r="162" spans="1:8">
      <c r="A162" s="1126" t="s">
        <v>70</v>
      </c>
      <c r="B162" s="1127" t="s">
        <v>160</v>
      </c>
      <c r="C162" s="129">
        <f>+D162+E162+F162</f>
        <v>0</v>
      </c>
      <c r="D162" s="1094"/>
      <c r="E162" s="1095"/>
      <c r="F162" s="1096"/>
      <c r="H162" s="141">
        <f t="shared" si="11"/>
        <v>0</v>
      </c>
    </row>
    <row r="163" spans="1:8">
      <c r="A163" s="1126" t="s">
        <v>71</v>
      </c>
      <c r="B163" s="1127" t="s">
        <v>161</v>
      </c>
      <c r="C163" s="129">
        <f>+D163+E163+F163</f>
        <v>0</v>
      </c>
      <c r="D163" s="1094"/>
      <c r="E163" s="1095"/>
      <c r="F163" s="1096"/>
      <c r="H163" s="141">
        <f t="shared" si="11"/>
        <v>0</v>
      </c>
    </row>
    <row r="164" spans="1:8" ht="12.75" thickBot="1">
      <c r="A164" s="1128" t="s">
        <v>72</v>
      </c>
      <c r="B164" s="1129" t="s">
        <v>162</v>
      </c>
      <c r="C164" s="142">
        <f>+D164+E164+F164</f>
        <v>0</v>
      </c>
      <c r="D164" s="1097"/>
      <c r="E164" s="1098"/>
      <c r="F164" s="1099"/>
      <c r="H164" s="141">
        <f t="shared" si="11"/>
        <v>0</v>
      </c>
    </row>
    <row r="165" spans="1:8" s="143" customFormat="1" ht="12.75" thickBot="1">
      <c r="A165" s="1113" t="s">
        <v>11</v>
      </c>
      <c r="B165" s="1121" t="s">
        <v>942</v>
      </c>
      <c r="C165" s="130">
        <f>+C166+C167+C168+C169+C171+C172+C173+C174+C175</f>
        <v>0</v>
      </c>
      <c r="D165" s="131">
        <f>+D166+D167+D168+D169+D171+D172+D173+D174+D175</f>
        <v>0</v>
      </c>
      <c r="E165" s="132">
        <f>+E166+E167+E168+E169+E171+E172+E173+E174+E175</f>
        <v>0</v>
      </c>
      <c r="F165" s="133">
        <f>+F166+F167+F168+F169+F171+F172+F173+F174+F175</f>
        <v>0</v>
      </c>
      <c r="H165" s="143">
        <f t="shared" si="11"/>
        <v>0</v>
      </c>
    </row>
    <row r="166" spans="1:8">
      <c r="A166" s="1122" t="s">
        <v>271</v>
      </c>
      <c r="B166" s="135" t="s">
        <v>163</v>
      </c>
      <c r="C166" s="136">
        <f t="shared" ref="C166:C175" si="13">+D166+E166+F166</f>
        <v>0</v>
      </c>
      <c r="D166" s="137"/>
      <c r="E166" s="138"/>
      <c r="F166" s="139"/>
      <c r="H166" s="141">
        <f t="shared" si="11"/>
        <v>0</v>
      </c>
    </row>
    <row r="167" spans="1:8">
      <c r="A167" s="1126" t="s">
        <v>272</v>
      </c>
      <c r="B167" s="1127" t="s">
        <v>164</v>
      </c>
      <c r="C167" s="129">
        <f t="shared" si="13"/>
        <v>0</v>
      </c>
      <c r="D167" s="1094"/>
      <c r="E167" s="1095"/>
      <c r="F167" s="1096"/>
      <c r="H167" s="141">
        <f t="shared" si="11"/>
        <v>0</v>
      </c>
    </row>
    <row r="168" spans="1:8">
      <c r="A168" s="1126" t="s">
        <v>273</v>
      </c>
      <c r="B168" s="1127" t="s">
        <v>165</v>
      </c>
      <c r="C168" s="129">
        <f t="shared" si="13"/>
        <v>0</v>
      </c>
      <c r="D168" s="1094"/>
      <c r="E168" s="1095"/>
      <c r="F168" s="1096"/>
      <c r="H168" s="141">
        <f t="shared" si="11"/>
        <v>0</v>
      </c>
    </row>
    <row r="169" spans="1:8">
      <c r="A169" s="1126" t="s">
        <v>274</v>
      </c>
      <c r="B169" s="1127" t="s">
        <v>166</v>
      </c>
      <c r="C169" s="129">
        <f t="shared" si="13"/>
        <v>0</v>
      </c>
      <c r="D169" s="1094"/>
      <c r="E169" s="1095"/>
      <c r="F169" s="1096"/>
      <c r="H169" s="141">
        <f t="shared" si="11"/>
        <v>0</v>
      </c>
    </row>
    <row r="170" spans="1:8" s="140" customFormat="1">
      <c r="A170" s="1130" t="s">
        <v>339</v>
      </c>
      <c r="B170" s="1131" t="s">
        <v>340</v>
      </c>
      <c r="C170" s="1132">
        <f t="shared" si="13"/>
        <v>0</v>
      </c>
      <c r="D170" s="1133"/>
      <c r="E170" s="1134"/>
      <c r="F170" s="1135"/>
      <c r="H170" s="140">
        <f t="shared" si="11"/>
        <v>0</v>
      </c>
    </row>
    <row r="171" spans="1:8">
      <c r="A171" s="1126" t="s">
        <v>275</v>
      </c>
      <c r="B171" s="1127" t="s">
        <v>167</v>
      </c>
      <c r="C171" s="129">
        <f t="shared" si="13"/>
        <v>0</v>
      </c>
      <c r="D171" s="1094"/>
      <c r="E171" s="1095"/>
      <c r="F171" s="1096"/>
      <c r="H171" s="141">
        <f t="shared" si="11"/>
        <v>0</v>
      </c>
    </row>
    <row r="172" spans="1:8">
      <c r="A172" s="1126" t="s">
        <v>276</v>
      </c>
      <c r="B172" s="1127" t="s">
        <v>168</v>
      </c>
      <c r="C172" s="129">
        <f t="shared" si="13"/>
        <v>0</v>
      </c>
      <c r="D172" s="1094"/>
      <c r="E172" s="1095"/>
      <c r="F172" s="1096"/>
      <c r="H172" s="141">
        <f t="shared" si="11"/>
        <v>0</v>
      </c>
    </row>
    <row r="173" spans="1:8">
      <c r="A173" s="1126" t="s">
        <v>277</v>
      </c>
      <c r="B173" s="1127" t="s">
        <v>169</v>
      </c>
      <c r="C173" s="129">
        <f t="shared" si="13"/>
        <v>0</v>
      </c>
      <c r="D173" s="1094"/>
      <c r="E173" s="1095"/>
      <c r="F173" s="1096"/>
      <c r="H173" s="141">
        <f t="shared" si="11"/>
        <v>0</v>
      </c>
    </row>
    <row r="174" spans="1:8">
      <c r="A174" s="1126" t="s">
        <v>278</v>
      </c>
      <c r="B174" s="1127" t="s">
        <v>943</v>
      </c>
      <c r="C174" s="129">
        <f>+D174+E174+F174</f>
        <v>0</v>
      </c>
      <c r="D174" s="1094"/>
      <c r="E174" s="1095"/>
      <c r="F174" s="1096"/>
      <c r="H174" s="141">
        <f t="shared" si="11"/>
        <v>0</v>
      </c>
    </row>
    <row r="175" spans="1:8" ht="12.75" thickBot="1">
      <c r="A175" s="1128" t="s">
        <v>941</v>
      </c>
      <c r="B175" s="1129" t="s">
        <v>944</v>
      </c>
      <c r="C175" s="142">
        <f t="shared" si="13"/>
        <v>0</v>
      </c>
      <c r="D175" s="1097"/>
      <c r="E175" s="1098"/>
      <c r="F175" s="1099"/>
      <c r="H175" s="141">
        <f t="shared" si="11"/>
        <v>0</v>
      </c>
    </row>
    <row r="176" spans="1:8" s="143" customFormat="1" ht="12.75" thickBot="1">
      <c r="A176" s="1113" t="s">
        <v>10</v>
      </c>
      <c r="B176" s="1136" t="s">
        <v>314</v>
      </c>
      <c r="C176" s="130">
        <f>+C109+C149</f>
        <v>15810</v>
      </c>
      <c r="D176" s="131">
        <f>+D109+D149</f>
        <v>0</v>
      </c>
      <c r="E176" s="132">
        <f>+E109+E149</f>
        <v>15810</v>
      </c>
      <c r="F176" s="133">
        <f>+F109+F149</f>
        <v>0</v>
      </c>
      <c r="H176" s="143">
        <f t="shared" si="11"/>
        <v>0</v>
      </c>
    </row>
    <row r="177" spans="1:8" s="143" customFormat="1" ht="12.75" thickBot="1">
      <c r="A177" s="1113" t="s">
        <v>9</v>
      </c>
      <c r="B177" s="1137" t="s">
        <v>315</v>
      </c>
      <c r="C177" s="130">
        <f>+C178</f>
        <v>0</v>
      </c>
      <c r="D177" s="131">
        <f>+D178</f>
        <v>0</v>
      </c>
      <c r="E177" s="132">
        <f>+E178</f>
        <v>0</v>
      </c>
      <c r="F177" s="133">
        <f>+F178</f>
        <v>0</v>
      </c>
      <c r="H177" s="143">
        <f t="shared" si="11"/>
        <v>0</v>
      </c>
    </row>
    <row r="178" spans="1:8" s="143" customFormat="1" ht="12.75" thickBot="1">
      <c r="A178" s="1113" t="s">
        <v>45</v>
      </c>
      <c r="B178" s="1121" t="s">
        <v>951</v>
      </c>
      <c r="C178" s="130">
        <f>+C179+C189+C190+C191</f>
        <v>0</v>
      </c>
      <c r="D178" s="131">
        <f>+D179+D189+D190+D191</f>
        <v>0</v>
      </c>
      <c r="E178" s="132">
        <f>+E179+E189+E190+E191</f>
        <v>0</v>
      </c>
      <c r="F178" s="133">
        <f>+F179+F189+F190+F191</f>
        <v>0</v>
      </c>
      <c r="H178" s="143">
        <f t="shared" si="11"/>
        <v>0</v>
      </c>
    </row>
    <row r="179" spans="1:8">
      <c r="A179" s="1122" t="s">
        <v>75</v>
      </c>
      <c r="B179" s="135" t="s">
        <v>952</v>
      </c>
      <c r="C179" s="136">
        <f>+C180+C181+C182+C183+C184+C185+C186+C187+C188</f>
        <v>0</v>
      </c>
      <c r="D179" s="137">
        <f>+D180+D181+D182+D183+D184+D185+D186+D187+D188</f>
        <v>0</v>
      </c>
      <c r="E179" s="138">
        <f>+E180+E181+E182+E183+E184+E185+E186+E187+E188</f>
        <v>0</v>
      </c>
      <c r="F179" s="139">
        <f>+F180+F181+F182+F183+F184+F185+F186+F187+F188</f>
        <v>0</v>
      </c>
      <c r="H179" s="141">
        <f t="shared" si="11"/>
        <v>0</v>
      </c>
    </row>
    <row r="180" spans="1:8" s="140" customFormat="1">
      <c r="A180" s="127" t="s">
        <v>205</v>
      </c>
      <c r="B180" s="128" t="s">
        <v>170</v>
      </c>
      <c r="C180" s="134">
        <f t="shared" ref="C180:C190" si="14">+D180+E180+F180</f>
        <v>0</v>
      </c>
      <c r="D180" s="769"/>
      <c r="E180" s="770"/>
      <c r="F180" s="771"/>
      <c r="H180" s="140">
        <f t="shared" si="11"/>
        <v>0</v>
      </c>
    </row>
    <row r="181" spans="1:8" s="140" customFormat="1">
      <c r="A181" s="127" t="s">
        <v>206</v>
      </c>
      <c r="B181" s="128" t="s">
        <v>171</v>
      </c>
      <c r="C181" s="134">
        <f t="shared" si="14"/>
        <v>0</v>
      </c>
      <c r="D181" s="769"/>
      <c r="E181" s="770"/>
      <c r="F181" s="771"/>
      <c r="H181" s="140">
        <f t="shared" si="11"/>
        <v>0</v>
      </c>
    </row>
    <row r="182" spans="1:8" s="140" customFormat="1">
      <c r="A182" s="127" t="s">
        <v>207</v>
      </c>
      <c r="B182" s="128" t="s">
        <v>172</v>
      </c>
      <c r="C182" s="134">
        <f t="shared" si="14"/>
        <v>0</v>
      </c>
      <c r="D182" s="769"/>
      <c r="E182" s="770"/>
      <c r="F182" s="771"/>
      <c r="H182" s="140">
        <f t="shared" si="11"/>
        <v>0</v>
      </c>
    </row>
    <row r="183" spans="1:8" s="140" customFormat="1">
      <c r="A183" s="127" t="s">
        <v>208</v>
      </c>
      <c r="B183" s="128" t="s">
        <v>173</v>
      </c>
      <c r="C183" s="134">
        <f t="shared" si="14"/>
        <v>0</v>
      </c>
      <c r="D183" s="769"/>
      <c r="E183" s="770"/>
      <c r="F183" s="771"/>
      <c r="H183" s="140">
        <f t="shared" si="11"/>
        <v>0</v>
      </c>
    </row>
    <row r="184" spans="1:8" s="140" customFormat="1">
      <c r="A184" s="127" t="s">
        <v>209</v>
      </c>
      <c r="B184" s="128" t="s">
        <v>174</v>
      </c>
      <c r="C184" s="134">
        <f t="shared" si="14"/>
        <v>0</v>
      </c>
      <c r="D184" s="769"/>
      <c r="E184" s="770"/>
      <c r="F184" s="771"/>
      <c r="H184" s="140">
        <f t="shared" si="11"/>
        <v>0</v>
      </c>
    </row>
    <row r="185" spans="1:8" s="140" customFormat="1">
      <c r="A185" s="127" t="s">
        <v>210</v>
      </c>
      <c r="B185" s="128" t="s">
        <v>179</v>
      </c>
      <c r="C185" s="134">
        <f t="shared" si="14"/>
        <v>0</v>
      </c>
      <c r="D185" s="769"/>
      <c r="E185" s="770"/>
      <c r="F185" s="771"/>
      <c r="H185" s="140">
        <f t="shared" si="11"/>
        <v>0</v>
      </c>
    </row>
    <row r="186" spans="1:8" s="140" customFormat="1">
      <c r="A186" s="127" t="s">
        <v>211</v>
      </c>
      <c r="B186" s="128" t="s">
        <v>175</v>
      </c>
      <c r="C186" s="134">
        <f t="shared" si="14"/>
        <v>0</v>
      </c>
      <c r="D186" s="769"/>
      <c r="E186" s="770"/>
      <c r="F186" s="771"/>
      <c r="H186" s="140">
        <f t="shared" si="11"/>
        <v>0</v>
      </c>
    </row>
    <row r="187" spans="1:8" s="140" customFormat="1">
      <c r="A187" s="127" t="s">
        <v>212</v>
      </c>
      <c r="B187" s="128" t="s">
        <v>176</v>
      </c>
      <c r="C187" s="134">
        <f t="shared" si="14"/>
        <v>0</v>
      </c>
      <c r="D187" s="769"/>
      <c r="E187" s="770"/>
      <c r="F187" s="771"/>
      <c r="H187" s="140">
        <f t="shared" si="11"/>
        <v>0</v>
      </c>
    </row>
    <row r="188" spans="1:8" s="140" customFormat="1">
      <c r="A188" s="127" t="s">
        <v>945</v>
      </c>
      <c r="B188" s="128" t="s">
        <v>947</v>
      </c>
      <c r="C188" s="134">
        <f>+D188+E188+F188</f>
        <v>0</v>
      </c>
      <c r="D188" s="769"/>
      <c r="E188" s="770"/>
      <c r="F188" s="771"/>
      <c r="H188" s="140">
        <f t="shared" si="11"/>
        <v>0</v>
      </c>
    </row>
    <row r="189" spans="1:8">
      <c r="A189" s="1126" t="s">
        <v>76</v>
      </c>
      <c r="B189" s="1127" t="s">
        <v>177</v>
      </c>
      <c r="C189" s="129">
        <f t="shared" si="14"/>
        <v>0</v>
      </c>
      <c r="D189" s="1094"/>
      <c r="E189" s="1095"/>
      <c r="F189" s="1096"/>
      <c r="H189" s="141">
        <f t="shared" si="11"/>
        <v>0</v>
      </c>
    </row>
    <row r="190" spans="1:8">
      <c r="A190" s="1128" t="s">
        <v>77</v>
      </c>
      <c r="B190" s="1129" t="s">
        <v>178</v>
      </c>
      <c r="C190" s="142">
        <f t="shared" si="14"/>
        <v>0</v>
      </c>
      <c r="D190" s="1097"/>
      <c r="E190" s="1098"/>
      <c r="F190" s="1099"/>
      <c r="H190" s="141">
        <f t="shared" si="11"/>
        <v>0</v>
      </c>
    </row>
    <row r="191" spans="1:8" ht="12.75" thickBot="1">
      <c r="A191" s="1128" t="s">
        <v>950</v>
      </c>
      <c r="B191" s="1129" t="s">
        <v>948</v>
      </c>
      <c r="C191" s="142">
        <f>+D191+E191+F191</f>
        <v>0</v>
      </c>
      <c r="D191" s="1097"/>
      <c r="E191" s="1098"/>
      <c r="F191" s="1099"/>
      <c r="H191" s="141">
        <f t="shared" si="11"/>
        <v>0</v>
      </c>
    </row>
    <row r="192" spans="1:8" s="143" customFormat="1" ht="12.75" thickBot="1">
      <c r="A192" s="1113" t="s">
        <v>44</v>
      </c>
      <c r="B192" s="1136" t="s">
        <v>316</v>
      </c>
      <c r="C192" s="130">
        <f>+C193</f>
        <v>0</v>
      </c>
      <c r="D192" s="131">
        <f>+D193</f>
        <v>0</v>
      </c>
      <c r="E192" s="132">
        <f>+E193</f>
        <v>0</v>
      </c>
      <c r="F192" s="133">
        <f>+F193</f>
        <v>0</v>
      </c>
      <c r="H192" s="143">
        <f t="shared" si="11"/>
        <v>0</v>
      </c>
    </row>
    <row r="193" spans="1:8" s="143" customFormat="1" ht="12.75" thickBot="1">
      <c r="A193" s="1113" t="s">
        <v>43</v>
      </c>
      <c r="B193" s="1121" t="s">
        <v>946</v>
      </c>
      <c r="C193" s="130">
        <f>+C194+C204+C205+C206</f>
        <v>0</v>
      </c>
      <c r="D193" s="131">
        <f>+D194+D204+D205+D206</f>
        <v>0</v>
      </c>
      <c r="E193" s="132">
        <f>+E194+E204+E205+E206</f>
        <v>0</v>
      </c>
      <c r="F193" s="133">
        <f>+F194+F204+F205+F206</f>
        <v>0</v>
      </c>
      <c r="H193" s="143">
        <f t="shared" si="11"/>
        <v>0</v>
      </c>
    </row>
    <row r="194" spans="1:8">
      <c r="A194" s="1122" t="s">
        <v>78</v>
      </c>
      <c r="B194" s="135" t="s">
        <v>984</v>
      </c>
      <c r="C194" s="136">
        <f>+C195+C196+C197+C198+C199+C200+C201+C202+C203</f>
        <v>0</v>
      </c>
      <c r="D194" s="137">
        <f>+D195+D196+D197+D198+D199+D200+D201+D202+D203</f>
        <v>0</v>
      </c>
      <c r="E194" s="138">
        <f>+E195+E196+E197+E198+E199+E200+E201+E202+E203</f>
        <v>0</v>
      </c>
      <c r="F194" s="139">
        <f>+F195+F196+F197+F198+F199+F200+F201+F202+F203</f>
        <v>0</v>
      </c>
      <c r="H194" s="141">
        <f t="shared" si="11"/>
        <v>0</v>
      </c>
    </row>
    <row r="195" spans="1:8" s="140" customFormat="1">
      <c r="A195" s="127" t="s">
        <v>213</v>
      </c>
      <c r="B195" s="128" t="s">
        <v>170</v>
      </c>
      <c r="C195" s="134">
        <f t="shared" ref="C195:C205" si="15">+D195+E195+F195</f>
        <v>0</v>
      </c>
      <c r="D195" s="769"/>
      <c r="E195" s="770"/>
      <c r="F195" s="771"/>
      <c r="H195" s="140">
        <f t="shared" si="11"/>
        <v>0</v>
      </c>
    </row>
    <row r="196" spans="1:8" s="140" customFormat="1">
      <c r="A196" s="127" t="s">
        <v>214</v>
      </c>
      <c r="B196" s="128" t="s">
        <v>171</v>
      </c>
      <c r="C196" s="134">
        <f t="shared" si="15"/>
        <v>0</v>
      </c>
      <c r="D196" s="769"/>
      <c r="E196" s="770"/>
      <c r="F196" s="771"/>
      <c r="H196" s="140">
        <f t="shared" si="11"/>
        <v>0</v>
      </c>
    </row>
    <row r="197" spans="1:8" s="140" customFormat="1">
      <c r="A197" s="127" t="s">
        <v>215</v>
      </c>
      <c r="B197" s="128" t="s">
        <v>172</v>
      </c>
      <c r="C197" s="134">
        <f t="shared" si="15"/>
        <v>0</v>
      </c>
      <c r="D197" s="769"/>
      <c r="E197" s="770"/>
      <c r="F197" s="771"/>
      <c r="H197" s="140">
        <f t="shared" si="11"/>
        <v>0</v>
      </c>
    </row>
    <row r="198" spans="1:8" s="140" customFormat="1">
      <c r="A198" s="127" t="s">
        <v>216</v>
      </c>
      <c r="B198" s="128" t="s">
        <v>173</v>
      </c>
      <c r="C198" s="134">
        <f t="shared" si="15"/>
        <v>0</v>
      </c>
      <c r="D198" s="769"/>
      <c r="E198" s="770"/>
      <c r="F198" s="771"/>
      <c r="H198" s="140">
        <f t="shared" si="11"/>
        <v>0</v>
      </c>
    </row>
    <row r="199" spans="1:8" s="140" customFormat="1">
      <c r="A199" s="127" t="s">
        <v>217</v>
      </c>
      <c r="B199" s="128" t="s">
        <v>174</v>
      </c>
      <c r="C199" s="134">
        <f t="shared" si="15"/>
        <v>0</v>
      </c>
      <c r="D199" s="769"/>
      <c r="E199" s="770"/>
      <c r="F199" s="771"/>
      <c r="H199" s="140">
        <f t="shared" si="11"/>
        <v>0</v>
      </c>
    </row>
    <row r="200" spans="1:8" s="140" customFormat="1">
      <c r="A200" s="127" t="s">
        <v>218</v>
      </c>
      <c r="B200" s="128" t="s">
        <v>179</v>
      </c>
      <c r="C200" s="134">
        <f t="shared" si="15"/>
        <v>0</v>
      </c>
      <c r="D200" s="769"/>
      <c r="E200" s="770"/>
      <c r="F200" s="771"/>
      <c r="H200" s="140">
        <f t="shared" si="11"/>
        <v>0</v>
      </c>
    </row>
    <row r="201" spans="1:8" s="140" customFormat="1">
      <c r="A201" s="127" t="s">
        <v>219</v>
      </c>
      <c r="B201" s="128" t="s">
        <v>175</v>
      </c>
      <c r="C201" s="134">
        <f t="shared" si="15"/>
        <v>0</v>
      </c>
      <c r="D201" s="769"/>
      <c r="E201" s="770"/>
      <c r="F201" s="771"/>
      <c r="H201" s="140">
        <f t="shared" si="11"/>
        <v>0</v>
      </c>
    </row>
    <row r="202" spans="1:8" s="140" customFormat="1">
      <c r="A202" s="127" t="s">
        <v>220</v>
      </c>
      <c r="B202" s="128" t="s">
        <v>176</v>
      </c>
      <c r="C202" s="134">
        <f t="shared" si="15"/>
        <v>0</v>
      </c>
      <c r="D202" s="769"/>
      <c r="E202" s="770"/>
      <c r="F202" s="771"/>
      <c r="H202" s="140">
        <f t="shared" si="11"/>
        <v>0</v>
      </c>
    </row>
    <row r="203" spans="1:8" s="140" customFormat="1">
      <c r="A203" s="127" t="s">
        <v>945</v>
      </c>
      <c r="B203" s="128" t="s">
        <v>947</v>
      </c>
      <c r="C203" s="134">
        <f>+D203+E203+F203</f>
        <v>0</v>
      </c>
      <c r="D203" s="769"/>
      <c r="E203" s="770"/>
      <c r="F203" s="771"/>
      <c r="H203" s="140">
        <f t="shared" ref="H203:H242" si="16">+C203-D203-E203-F203</f>
        <v>0</v>
      </c>
    </row>
    <row r="204" spans="1:8">
      <c r="A204" s="1126" t="s">
        <v>79</v>
      </c>
      <c r="B204" s="1127" t="s">
        <v>177</v>
      </c>
      <c r="C204" s="129">
        <f t="shared" si="15"/>
        <v>0</v>
      </c>
      <c r="D204" s="1094"/>
      <c r="E204" s="1095"/>
      <c r="F204" s="1096"/>
      <c r="H204" s="141">
        <f t="shared" si="16"/>
        <v>0</v>
      </c>
    </row>
    <row r="205" spans="1:8">
      <c r="A205" s="1128" t="s">
        <v>221</v>
      </c>
      <c r="B205" s="1129" t="s">
        <v>178</v>
      </c>
      <c r="C205" s="142">
        <f t="shared" si="15"/>
        <v>0</v>
      </c>
      <c r="D205" s="1097"/>
      <c r="E205" s="1098"/>
      <c r="F205" s="1099"/>
      <c r="H205" s="141">
        <f t="shared" si="16"/>
        <v>0</v>
      </c>
    </row>
    <row r="206" spans="1:8" ht="12.75" thickBot="1">
      <c r="A206" s="1128" t="s">
        <v>949</v>
      </c>
      <c r="B206" s="1129" t="s">
        <v>948</v>
      </c>
      <c r="C206" s="142">
        <f>+D206+E206+F206</f>
        <v>0</v>
      </c>
      <c r="D206" s="1097"/>
      <c r="E206" s="1098"/>
      <c r="F206" s="1099"/>
      <c r="H206" s="141">
        <f t="shared" si="16"/>
        <v>0</v>
      </c>
    </row>
    <row r="207" spans="1:8" s="143" customFormat="1" ht="12.75" thickBot="1">
      <c r="A207" s="1113" t="s">
        <v>40</v>
      </c>
      <c r="B207" s="1136" t="s">
        <v>317</v>
      </c>
      <c r="C207" s="130">
        <f>+C177+C192</f>
        <v>0</v>
      </c>
      <c r="D207" s="131">
        <f>+D177+D192</f>
        <v>0</v>
      </c>
      <c r="E207" s="132">
        <f>+E177+E192</f>
        <v>0</v>
      </c>
      <c r="F207" s="133">
        <f>+F177+F192</f>
        <v>0</v>
      </c>
      <c r="H207" s="143">
        <f t="shared" si="16"/>
        <v>0</v>
      </c>
    </row>
    <row r="208" spans="1:8" s="143" customFormat="1" ht="12.75" thickBot="1">
      <c r="A208" s="1138" t="s">
        <v>39</v>
      </c>
      <c r="B208" s="1139" t="s">
        <v>335</v>
      </c>
      <c r="C208" s="1140">
        <f>+C176+C207</f>
        <v>15810</v>
      </c>
      <c r="D208" s="1141">
        <f>+D176+D207</f>
        <v>0</v>
      </c>
      <c r="E208" s="1142">
        <f>+E176+E207</f>
        <v>15810</v>
      </c>
      <c r="F208" s="1143">
        <f>+F176+F207</f>
        <v>0</v>
      </c>
      <c r="H208" s="143">
        <f t="shared" si="16"/>
        <v>0</v>
      </c>
    </row>
    <row r="211" spans="1:30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1104" customFormat="1" ht="12.75" thickBot="1">
      <c r="A212" s="1103" t="s">
        <v>282</v>
      </c>
      <c r="F212" s="1105" t="s">
        <v>281</v>
      </c>
    </row>
    <row r="213" spans="1:30" s="143" customFormat="1" ht="12.75" thickBot="1">
      <c r="A213" s="1113" t="s">
        <v>4</v>
      </c>
      <c r="B213" s="1136" t="s">
        <v>318</v>
      </c>
      <c r="C213" s="130">
        <f>+C214+C215</f>
        <v>0</v>
      </c>
      <c r="D213" s="131">
        <f>+D214+D215</f>
        <v>0</v>
      </c>
      <c r="E213" s="132">
        <f>+E214+E215</f>
        <v>0</v>
      </c>
      <c r="F213" s="133">
        <f>+F214+F215</f>
        <v>0</v>
      </c>
      <c r="H213" s="143">
        <f t="shared" si="16"/>
        <v>0</v>
      </c>
    </row>
    <row r="214" spans="1:30">
      <c r="A214" s="1122" t="s">
        <v>81</v>
      </c>
      <c r="B214" s="1165" t="s">
        <v>319</v>
      </c>
      <c r="C214" s="136">
        <f>+C10-C109</f>
        <v>1300</v>
      </c>
      <c r="D214" s="137">
        <f>+D10-D109</f>
        <v>0</v>
      </c>
      <c r="E214" s="138">
        <f>+E10-E109</f>
        <v>1300</v>
      </c>
      <c r="F214" s="139">
        <f>+F10-F109</f>
        <v>0</v>
      </c>
      <c r="H214" s="141">
        <f t="shared" si="16"/>
        <v>0</v>
      </c>
    </row>
    <row r="215" spans="1:30" ht="12.75" thickBot="1">
      <c r="A215" s="1166" t="s">
        <v>82</v>
      </c>
      <c r="B215" s="1167" t="s">
        <v>320</v>
      </c>
      <c r="C215" s="1168">
        <f>+C50-C149</f>
        <v>-1300</v>
      </c>
      <c r="D215" s="1169">
        <f>+D50-D149</f>
        <v>0</v>
      </c>
      <c r="E215" s="1163">
        <f>+E50-E149</f>
        <v>-1300</v>
      </c>
      <c r="F215" s="1164">
        <f>+F50-F149</f>
        <v>0</v>
      </c>
      <c r="H215" s="141">
        <f t="shared" si="16"/>
        <v>0</v>
      </c>
    </row>
    <row r="218" spans="1:30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1104" customFormat="1" ht="12.75" thickBot="1">
      <c r="A219" s="1103" t="s">
        <v>283</v>
      </c>
      <c r="F219" s="1105" t="s">
        <v>281</v>
      </c>
    </row>
    <row r="220" spans="1:30" s="143" customFormat="1" ht="12.75" thickBot="1">
      <c r="A220" s="1113" t="s">
        <v>4</v>
      </c>
      <c r="B220" s="1136" t="s">
        <v>321</v>
      </c>
      <c r="C220" s="130">
        <f>+C221+C228</f>
        <v>0</v>
      </c>
      <c r="D220" s="131">
        <f>+D221+D228</f>
        <v>0</v>
      </c>
      <c r="E220" s="132">
        <f>+E221+E228</f>
        <v>0</v>
      </c>
      <c r="F220" s="133">
        <f>+F221+F228</f>
        <v>0</v>
      </c>
      <c r="H220" s="143">
        <f t="shared" si="16"/>
        <v>0</v>
      </c>
    </row>
    <row r="221" spans="1:30" s="143" customFormat="1" ht="12.75" thickBot="1">
      <c r="A221" s="1113" t="s">
        <v>5</v>
      </c>
      <c r="B221" s="1121" t="s">
        <v>322</v>
      </c>
      <c r="C221" s="130">
        <f>+C222-C225</f>
        <v>-1300</v>
      </c>
      <c r="D221" s="131">
        <f>+D222-D225</f>
        <v>0</v>
      </c>
      <c r="E221" s="132">
        <f>+E222-E225</f>
        <v>-1300</v>
      </c>
      <c r="F221" s="133">
        <f>+F222-F225</f>
        <v>0</v>
      </c>
      <c r="H221" s="143">
        <f t="shared" si="16"/>
        <v>0</v>
      </c>
    </row>
    <row r="222" spans="1:30">
      <c r="A222" s="1122" t="s">
        <v>54</v>
      </c>
      <c r="B222" s="135" t="s">
        <v>323</v>
      </c>
      <c r="C222" s="136">
        <f>+C223+C224</f>
        <v>-1300</v>
      </c>
      <c r="D222" s="137">
        <f>+D223+D224</f>
        <v>0</v>
      </c>
      <c r="E222" s="138">
        <f>+E223+E224</f>
        <v>-1300</v>
      </c>
      <c r="F222" s="139">
        <f>+F223+F224</f>
        <v>0</v>
      </c>
      <c r="H222" s="141">
        <f t="shared" si="16"/>
        <v>0</v>
      </c>
    </row>
    <row r="223" spans="1:30" s="140" customFormat="1">
      <c r="A223" s="127" t="s">
        <v>190</v>
      </c>
      <c r="B223" s="128" t="s">
        <v>285</v>
      </c>
      <c r="C223" s="134">
        <f>+C76+C80</f>
        <v>0</v>
      </c>
      <c r="D223" s="769">
        <f>+D76+D80</f>
        <v>0</v>
      </c>
      <c r="E223" s="770">
        <f>+E76+E80</f>
        <v>0</v>
      </c>
      <c r="F223" s="771">
        <f>+F76+F80</f>
        <v>0</v>
      </c>
      <c r="H223" s="140">
        <f t="shared" si="16"/>
        <v>0</v>
      </c>
    </row>
    <row r="224" spans="1:30" s="140" customFormat="1">
      <c r="A224" s="127" t="s">
        <v>191</v>
      </c>
      <c r="B224" s="128" t="s">
        <v>286</v>
      </c>
      <c r="C224" s="134">
        <f>+C74+C75+C77+C78+C79+C81</f>
        <v>-1300</v>
      </c>
      <c r="D224" s="769">
        <f>+D74+D75+D77+D78+D79+D81</f>
        <v>0</v>
      </c>
      <c r="E224" s="770">
        <f>+E74+E75+E77+E78+E79+E81</f>
        <v>-1300</v>
      </c>
      <c r="F224" s="771">
        <f>+F74+F75+F77+F78+F79+F81</f>
        <v>0</v>
      </c>
      <c r="H224" s="140">
        <f t="shared" si="16"/>
        <v>0</v>
      </c>
    </row>
    <row r="225" spans="1:30">
      <c r="A225" s="1126" t="s">
        <v>55</v>
      </c>
      <c r="B225" s="1127" t="s">
        <v>324</v>
      </c>
      <c r="C225" s="129">
        <f>+C227</f>
        <v>0</v>
      </c>
      <c r="D225" s="1094">
        <f>+D227</f>
        <v>0</v>
      </c>
      <c r="E225" s="1095">
        <f>+E227</f>
        <v>0</v>
      </c>
      <c r="F225" s="1096">
        <f>+F227</f>
        <v>0</v>
      </c>
      <c r="H225" s="141">
        <f t="shared" si="16"/>
        <v>0</v>
      </c>
    </row>
    <row r="226" spans="1:30" s="140" customFormat="1">
      <c r="A226" s="127" t="s">
        <v>56</v>
      </c>
      <c r="B226" s="128" t="s">
        <v>287</v>
      </c>
      <c r="C226" s="134">
        <f>+C185</f>
        <v>0</v>
      </c>
      <c r="D226" s="769">
        <f>+D185</f>
        <v>0</v>
      </c>
      <c r="E226" s="770">
        <f>+E185</f>
        <v>0</v>
      </c>
      <c r="F226" s="771">
        <f>+F185</f>
        <v>0</v>
      </c>
      <c r="H226" s="140">
        <f t="shared" si="16"/>
        <v>0</v>
      </c>
    </row>
    <row r="227" spans="1:30" s="140" customFormat="1" ht="12.75" thickBot="1">
      <c r="A227" s="1130" t="s">
        <v>57</v>
      </c>
      <c r="B227" s="1156" t="s">
        <v>288</v>
      </c>
      <c r="C227" s="1132">
        <f>+C180+C181+C182+C183+C184+C186+C187</f>
        <v>0</v>
      </c>
      <c r="D227" s="1133">
        <f>+D180+D181+D182+D183+D184+D186+D187</f>
        <v>0</v>
      </c>
      <c r="E227" s="1134">
        <f>+E180+E181+E182+E183+E184+E186+E187</f>
        <v>0</v>
      </c>
      <c r="F227" s="1135">
        <f>+F180+F181+F182+F183+F184+F186+F187</f>
        <v>0</v>
      </c>
      <c r="H227" s="140">
        <f t="shared" si="16"/>
        <v>0</v>
      </c>
    </row>
    <row r="228" spans="1:30" s="143" customFormat="1" ht="12.75" thickBot="1">
      <c r="A228" s="1113" t="s">
        <v>6</v>
      </c>
      <c r="B228" s="1121" t="s">
        <v>325</v>
      </c>
      <c r="C228" s="130">
        <f>+C229-C232</f>
        <v>1300</v>
      </c>
      <c r="D228" s="131">
        <f>+D229-D232</f>
        <v>0</v>
      </c>
      <c r="E228" s="132">
        <f>+E229-E232</f>
        <v>1300</v>
      </c>
      <c r="F228" s="133">
        <f>+F229-F232</f>
        <v>0</v>
      </c>
      <c r="H228" s="143">
        <f t="shared" si="16"/>
        <v>0</v>
      </c>
    </row>
    <row r="229" spans="1:30">
      <c r="A229" s="1122" t="s">
        <v>58</v>
      </c>
      <c r="B229" s="135" t="s">
        <v>326</v>
      </c>
      <c r="C229" s="136">
        <f>+C230+C231</f>
        <v>1300</v>
      </c>
      <c r="D229" s="137">
        <f>+D230+D231</f>
        <v>0</v>
      </c>
      <c r="E229" s="138">
        <f>+E230+E231</f>
        <v>1300</v>
      </c>
      <c r="F229" s="139">
        <f>+F230+F231</f>
        <v>0</v>
      </c>
      <c r="H229" s="141">
        <f t="shared" si="16"/>
        <v>0</v>
      </c>
    </row>
    <row r="230" spans="1:30" s="140" customFormat="1">
      <c r="A230" s="127" t="s">
        <v>293</v>
      </c>
      <c r="B230" s="128" t="s">
        <v>291</v>
      </c>
      <c r="C230" s="134">
        <f>+C91+C95</f>
        <v>0</v>
      </c>
      <c r="D230" s="769">
        <f>+D91+D95</f>
        <v>0</v>
      </c>
      <c r="E230" s="770">
        <f>+E91+E95</f>
        <v>0</v>
      </c>
      <c r="F230" s="771">
        <f>+F91+F95</f>
        <v>0</v>
      </c>
      <c r="H230" s="140">
        <f t="shared" si="16"/>
        <v>0</v>
      </c>
    </row>
    <row r="231" spans="1:30" s="140" customFormat="1">
      <c r="A231" s="127" t="s">
        <v>294</v>
      </c>
      <c r="B231" s="128" t="s">
        <v>292</v>
      </c>
      <c r="C231" s="134">
        <f>+C89+C90+C92+C93+C94+C96</f>
        <v>1300</v>
      </c>
      <c r="D231" s="769">
        <f>+D89+D90+D92+D93+D94+D96</f>
        <v>0</v>
      </c>
      <c r="E231" s="770">
        <f>+E89+E90+E92+E93+E94+E96</f>
        <v>1300</v>
      </c>
      <c r="F231" s="771">
        <f>+F89+F90+F92+F93+F94+F96</f>
        <v>0</v>
      </c>
      <c r="H231" s="140">
        <f t="shared" si="16"/>
        <v>0</v>
      </c>
    </row>
    <row r="232" spans="1:30">
      <c r="A232" s="1126" t="s">
        <v>59</v>
      </c>
      <c r="B232" s="1127" t="s">
        <v>327</v>
      </c>
      <c r="C232" s="129">
        <f>+C233+C234</f>
        <v>0</v>
      </c>
      <c r="D232" s="1094">
        <f>+D233+D234</f>
        <v>0</v>
      </c>
      <c r="E232" s="1095">
        <f>+E233+E234</f>
        <v>0</v>
      </c>
      <c r="F232" s="1096">
        <f>+F233+F234</f>
        <v>0</v>
      </c>
      <c r="H232" s="141">
        <f t="shared" si="16"/>
        <v>0</v>
      </c>
    </row>
    <row r="233" spans="1:30" s="140" customFormat="1">
      <c r="A233" s="127" t="s">
        <v>295</v>
      </c>
      <c r="B233" s="128" t="s">
        <v>289</v>
      </c>
      <c r="C233" s="134">
        <f>+C200</f>
        <v>0</v>
      </c>
      <c r="D233" s="769">
        <f>+D200</f>
        <v>0</v>
      </c>
      <c r="E233" s="770">
        <f>+E200</f>
        <v>0</v>
      </c>
      <c r="F233" s="771">
        <f>+F200</f>
        <v>0</v>
      </c>
      <c r="H233" s="140">
        <f t="shared" si="16"/>
        <v>0</v>
      </c>
    </row>
    <row r="234" spans="1:30" s="140" customFormat="1" ht="12.75" thickBot="1">
      <c r="A234" s="1170" t="s">
        <v>296</v>
      </c>
      <c r="B234" s="1171" t="s">
        <v>290</v>
      </c>
      <c r="C234" s="1172">
        <f>+C195+C196+C197+C198+C199+C201+C202</f>
        <v>0</v>
      </c>
      <c r="D234" s="1173">
        <f>+D195+D196+D197+D198+D199+D201+D202</f>
        <v>0</v>
      </c>
      <c r="E234" s="1174">
        <f>+E195+E196+E197+E198+E199+E201+E202</f>
        <v>0</v>
      </c>
      <c r="F234" s="1175">
        <f>+F195+F196+F197+F198+F199+F201+F202</f>
        <v>0</v>
      </c>
      <c r="H234" s="140">
        <f t="shared" si="16"/>
        <v>0</v>
      </c>
    </row>
    <row r="237" spans="1:30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s="1104" customFormat="1" ht="12.75" thickBot="1">
      <c r="A238" s="1103" t="s">
        <v>284</v>
      </c>
      <c r="F238" s="1105"/>
    </row>
    <row r="239" spans="1:30" s="143" customFormat="1">
      <c r="A239" s="1176" t="s">
        <v>4</v>
      </c>
      <c r="B239" s="1177" t="s">
        <v>91</v>
      </c>
      <c r="C239" s="1178">
        <f>+D239+E239+F239</f>
        <v>3</v>
      </c>
      <c r="D239" s="1179"/>
      <c r="E239" s="1180">
        <v>3</v>
      </c>
      <c r="F239" s="1181"/>
      <c r="H239" s="143">
        <f t="shared" si="16"/>
        <v>0</v>
      </c>
    </row>
    <row r="240" spans="1:30" s="140" customFormat="1">
      <c r="A240" s="1130" t="s">
        <v>351</v>
      </c>
      <c r="B240" s="1182" t="s">
        <v>352</v>
      </c>
      <c r="C240" s="1183">
        <f>+D240+E240+F240</f>
        <v>0</v>
      </c>
      <c r="D240" s="1184"/>
      <c r="E240" s="1185"/>
      <c r="F240" s="1186"/>
      <c r="H240" s="140">
        <f t="shared" si="16"/>
        <v>0</v>
      </c>
    </row>
    <row r="241" spans="1:8" s="143" customFormat="1" ht="12.75" thickBot="1">
      <c r="A241" s="1187" t="s">
        <v>5</v>
      </c>
      <c r="B241" s="1188" t="s">
        <v>92</v>
      </c>
      <c r="C241" s="1189">
        <f>+D241+E241+F241</f>
        <v>0</v>
      </c>
      <c r="D241" s="1190"/>
      <c r="E241" s="1191"/>
      <c r="F241" s="1192"/>
      <c r="H241" s="143">
        <f t="shared" si="16"/>
        <v>0</v>
      </c>
    </row>
    <row r="242" spans="1:8" s="143" customFormat="1" ht="12.75" thickBot="1">
      <c r="A242" s="1113" t="s">
        <v>6</v>
      </c>
      <c r="B242" s="1136" t="s">
        <v>330</v>
      </c>
      <c r="C242" s="1193">
        <f>+C239+C241</f>
        <v>3</v>
      </c>
      <c r="D242" s="1194">
        <f>+D239+D241</f>
        <v>0</v>
      </c>
      <c r="E242" s="1195">
        <f>+E239+E241</f>
        <v>3</v>
      </c>
      <c r="F242" s="1196">
        <f>+F239+F241</f>
        <v>0</v>
      </c>
      <c r="H242" s="143">
        <f t="shared" si="16"/>
        <v>0</v>
      </c>
    </row>
  </sheetData>
  <mergeCells count="9">
    <mergeCell ref="A218:F218"/>
    <mergeCell ref="A237:F237"/>
    <mergeCell ref="C9:F9"/>
    <mergeCell ref="C108:F108"/>
    <mergeCell ref="A3:F3"/>
    <mergeCell ref="A4:F4"/>
    <mergeCell ref="A6:F6"/>
    <mergeCell ref="A105:F105"/>
    <mergeCell ref="A211:F2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1.5. melléklet - &amp;P. oldal</oddHeader>
  </headerFooter>
  <rowBreaks count="1" manualBreakCount="1">
    <brk id="10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42"/>
  <sheetViews>
    <sheetView zoomScaleNormal="100" workbookViewId="0"/>
  </sheetViews>
  <sheetFormatPr defaultRowHeight="12"/>
  <cols>
    <col min="1" max="1" width="6.5703125" style="141" customWidth="1"/>
    <col min="2" max="2" width="109.5703125" style="141" bestFit="1" customWidth="1"/>
    <col min="3" max="6" width="9.28515625" style="141" customWidth="1"/>
    <col min="7" max="7" width="0" style="141" hidden="1" customWidth="1"/>
    <col min="8" max="8" width="9.140625" style="141" hidden="1" customWidth="1"/>
    <col min="9" max="16384" width="9.140625" style="141"/>
  </cols>
  <sheetData>
    <row r="1" spans="1:8" s="1100" customFormat="1" ht="15.75">
      <c r="F1" s="1101" t="s">
        <v>1089</v>
      </c>
    </row>
    <row r="2" spans="1:8" s="1100" customFormat="1" ht="15.75"/>
    <row r="3" spans="1:8" s="1102" customFormat="1" ht="15.75">
      <c r="A3" s="1441" t="s">
        <v>1088</v>
      </c>
      <c r="B3" s="1441"/>
      <c r="C3" s="1441"/>
      <c r="D3" s="1441"/>
      <c r="E3" s="1441"/>
      <c r="F3" s="1441"/>
    </row>
    <row r="4" spans="1:8" s="1102" customFormat="1" ht="15.75">
      <c r="A4" s="1441" t="s">
        <v>1319</v>
      </c>
      <c r="B4" s="1441"/>
      <c r="C4" s="1441"/>
      <c r="D4" s="1441"/>
      <c r="E4" s="1441"/>
      <c r="F4" s="1441"/>
    </row>
    <row r="5" spans="1:8" s="1100" customFormat="1" ht="15.75"/>
    <row r="6" spans="1:8" s="1102" customFormat="1" ht="15.75">
      <c r="A6" s="1441" t="s">
        <v>48</v>
      </c>
      <c r="B6" s="1441"/>
      <c r="C6" s="1441"/>
      <c r="D6" s="1441"/>
      <c r="E6" s="1441"/>
      <c r="F6" s="1441"/>
    </row>
    <row r="7" spans="1:8" s="1104" customFormat="1" ht="12.75" thickBot="1">
      <c r="A7" s="1103" t="s">
        <v>280</v>
      </c>
      <c r="F7" s="1105" t="s">
        <v>281</v>
      </c>
    </row>
    <row r="8" spans="1:8" s="1112" customFormat="1" ht="54" customHeight="1" thickBot="1">
      <c r="A8" s="1106" t="s">
        <v>17</v>
      </c>
      <c r="B8" s="1107" t="s">
        <v>328</v>
      </c>
      <c r="C8" s="1108" t="s">
        <v>1317</v>
      </c>
      <c r="D8" s="1109" t="s">
        <v>51</v>
      </c>
      <c r="E8" s="1110" t="s">
        <v>52</v>
      </c>
      <c r="F8" s="1111" t="s">
        <v>53</v>
      </c>
    </row>
    <row r="9" spans="1:8" s="143" customFormat="1" ht="12.75" thickBot="1">
      <c r="A9" s="1113" t="s">
        <v>253</v>
      </c>
      <c r="B9" s="1114" t="s">
        <v>254</v>
      </c>
      <c r="C9" s="1442" t="s">
        <v>255</v>
      </c>
      <c r="D9" s="1443"/>
      <c r="E9" s="1443"/>
      <c r="F9" s="1444"/>
    </row>
    <row r="10" spans="1:8" s="143" customFormat="1" ht="12.75" thickBot="1">
      <c r="A10" s="1115" t="s">
        <v>4</v>
      </c>
      <c r="B10" s="1116" t="s">
        <v>297</v>
      </c>
      <c r="C10" s="1117">
        <f>+C11+C25+C32+C44</f>
        <v>0</v>
      </c>
      <c r="D10" s="1118">
        <f>+D11+D25+D32+D44</f>
        <v>0</v>
      </c>
      <c r="E10" s="1119">
        <f>+E11+E25+E32+E44</f>
        <v>0</v>
      </c>
      <c r="F10" s="1120">
        <f>+F11+F25+F32+F44</f>
        <v>0</v>
      </c>
      <c r="H10" s="143">
        <f>+C10-D10-E10-F10</f>
        <v>0</v>
      </c>
    </row>
    <row r="11" spans="1:8" s="143" customFormat="1" ht="12.75" customHeight="1" thickBot="1">
      <c r="A11" s="1113" t="s">
        <v>5</v>
      </c>
      <c r="B11" s="1121" t="s">
        <v>298</v>
      </c>
      <c r="C11" s="130">
        <f>+C12+C19+C20+C21+C22+C23</f>
        <v>0</v>
      </c>
      <c r="D11" s="131">
        <f>+D12+D19+D20+D21+D22+D23</f>
        <v>0</v>
      </c>
      <c r="E11" s="132">
        <f>+E12+E19+E20+E21+E22+E23</f>
        <v>0</v>
      </c>
      <c r="F11" s="133">
        <f>+F12+F19+F20+F21+F22+F23</f>
        <v>0</v>
      </c>
      <c r="H11" s="143">
        <f t="shared" ref="H11:H74" si="0">+C11-D11-E11-F11</f>
        <v>0</v>
      </c>
    </row>
    <row r="12" spans="1:8" s="143" customFormat="1">
      <c r="A12" s="1122" t="s">
        <v>54</v>
      </c>
      <c r="B12" s="135" t="s">
        <v>299</v>
      </c>
      <c r="C12" s="136">
        <f>+C13+C14+C15+C16+C17+C18</f>
        <v>0</v>
      </c>
      <c r="D12" s="1123">
        <f>+D13+D14+D15+D16+D17+D18</f>
        <v>0</v>
      </c>
      <c r="E12" s="1124">
        <f>+E13+E14+E15+E16+E17+E18</f>
        <v>0</v>
      </c>
      <c r="F12" s="1125">
        <f>+F13+F14+F15+F16+F17+F18</f>
        <v>0</v>
      </c>
      <c r="H12" s="141">
        <f t="shared" si="0"/>
        <v>0</v>
      </c>
    </row>
    <row r="13" spans="1:8" s="140" customFormat="1">
      <c r="A13" s="127" t="s">
        <v>190</v>
      </c>
      <c r="B13" s="128" t="s">
        <v>93</v>
      </c>
      <c r="C13" s="134">
        <f>+D13+E13+F13</f>
        <v>0</v>
      </c>
      <c r="D13" s="769"/>
      <c r="E13" s="770"/>
      <c r="F13" s="771"/>
      <c r="H13" s="140">
        <f t="shared" si="0"/>
        <v>0</v>
      </c>
    </row>
    <row r="14" spans="1:8" s="140" customFormat="1">
      <c r="A14" s="127" t="s">
        <v>191</v>
      </c>
      <c r="B14" s="128" t="s">
        <v>94</v>
      </c>
      <c r="C14" s="134">
        <f t="shared" ref="C14:C24" si="1">+D14+E14+F14</f>
        <v>0</v>
      </c>
      <c r="D14" s="769"/>
      <c r="E14" s="770"/>
      <c r="F14" s="771"/>
      <c r="H14" s="140">
        <f t="shared" si="0"/>
        <v>0</v>
      </c>
    </row>
    <row r="15" spans="1:8" s="140" customFormat="1">
      <c r="A15" s="127" t="s">
        <v>192</v>
      </c>
      <c r="B15" s="128" t="s">
        <v>95</v>
      </c>
      <c r="C15" s="134">
        <f t="shared" si="1"/>
        <v>0</v>
      </c>
      <c r="D15" s="769"/>
      <c r="E15" s="770"/>
      <c r="F15" s="771"/>
      <c r="H15" s="140">
        <f t="shared" si="0"/>
        <v>0</v>
      </c>
    </row>
    <row r="16" spans="1:8" s="140" customFormat="1">
      <c r="A16" s="127" t="s">
        <v>193</v>
      </c>
      <c r="B16" s="128" t="s">
        <v>96</v>
      </c>
      <c r="C16" s="134">
        <f t="shared" si="1"/>
        <v>0</v>
      </c>
      <c r="D16" s="769"/>
      <c r="E16" s="770"/>
      <c r="F16" s="771"/>
      <c r="H16" s="140">
        <f t="shared" si="0"/>
        <v>0</v>
      </c>
    </row>
    <row r="17" spans="1:8" s="140" customFormat="1">
      <c r="A17" s="127" t="s">
        <v>194</v>
      </c>
      <c r="B17" s="128" t="s">
        <v>905</v>
      </c>
      <c r="C17" s="134">
        <f t="shared" si="1"/>
        <v>0</v>
      </c>
      <c r="D17" s="769"/>
      <c r="E17" s="770"/>
      <c r="F17" s="771"/>
      <c r="H17" s="140">
        <f t="shared" si="0"/>
        <v>0</v>
      </c>
    </row>
    <row r="18" spans="1:8" s="140" customFormat="1">
      <c r="A18" s="127" t="s">
        <v>195</v>
      </c>
      <c r="B18" s="128" t="s">
        <v>906</v>
      </c>
      <c r="C18" s="134">
        <f t="shared" si="1"/>
        <v>0</v>
      </c>
      <c r="D18" s="769"/>
      <c r="E18" s="770"/>
      <c r="F18" s="771"/>
      <c r="H18" s="140">
        <f t="shared" si="0"/>
        <v>0</v>
      </c>
    </row>
    <row r="19" spans="1:8">
      <c r="A19" s="1126" t="s">
        <v>55</v>
      </c>
      <c r="B19" s="1127" t="s">
        <v>97</v>
      </c>
      <c r="C19" s="129">
        <f t="shared" si="1"/>
        <v>0</v>
      </c>
      <c r="D19" s="1094"/>
      <c r="E19" s="1095"/>
      <c r="F19" s="1096"/>
      <c r="H19" s="141">
        <f t="shared" si="0"/>
        <v>0</v>
      </c>
    </row>
    <row r="20" spans="1:8">
      <c r="A20" s="1126" t="s">
        <v>83</v>
      </c>
      <c r="B20" s="1127" t="s">
        <v>98</v>
      </c>
      <c r="C20" s="129">
        <f t="shared" si="1"/>
        <v>0</v>
      </c>
      <c r="D20" s="1094"/>
      <c r="E20" s="1095"/>
      <c r="F20" s="1096"/>
      <c r="H20" s="141">
        <f t="shared" si="0"/>
        <v>0</v>
      </c>
    </row>
    <row r="21" spans="1:8">
      <c r="A21" s="1126" t="s">
        <v>84</v>
      </c>
      <c r="B21" s="1127" t="s">
        <v>99</v>
      </c>
      <c r="C21" s="129">
        <f t="shared" si="1"/>
        <v>0</v>
      </c>
      <c r="D21" s="1094"/>
      <c r="E21" s="1095"/>
      <c r="F21" s="1096"/>
      <c r="H21" s="141">
        <f t="shared" si="0"/>
        <v>0</v>
      </c>
    </row>
    <row r="22" spans="1:8">
      <c r="A22" s="1126" t="s">
        <v>85</v>
      </c>
      <c r="B22" s="1127" t="s">
        <v>100</v>
      </c>
      <c r="C22" s="129">
        <f t="shared" si="1"/>
        <v>0</v>
      </c>
      <c r="D22" s="1094"/>
      <c r="E22" s="1095"/>
      <c r="F22" s="1096"/>
      <c r="H22" s="141">
        <f t="shared" si="0"/>
        <v>0</v>
      </c>
    </row>
    <row r="23" spans="1:8">
      <c r="A23" s="1128" t="s">
        <v>86</v>
      </c>
      <c r="B23" s="1129" t="s">
        <v>101</v>
      </c>
      <c r="C23" s="142">
        <f t="shared" si="1"/>
        <v>0</v>
      </c>
      <c r="D23" s="1097"/>
      <c r="E23" s="1098"/>
      <c r="F23" s="1099"/>
      <c r="H23" s="141">
        <f t="shared" si="0"/>
        <v>0</v>
      </c>
    </row>
    <row r="24" spans="1:8" s="140" customFormat="1" ht="12.75" thickBot="1">
      <c r="A24" s="1130" t="s">
        <v>332</v>
      </c>
      <c r="B24" s="1131" t="s">
        <v>333</v>
      </c>
      <c r="C24" s="1132">
        <f t="shared" si="1"/>
        <v>0</v>
      </c>
      <c r="D24" s="1133"/>
      <c r="E24" s="1134"/>
      <c r="F24" s="1135"/>
      <c r="H24" s="140">
        <f t="shared" si="0"/>
        <v>0</v>
      </c>
    </row>
    <row r="25" spans="1:8" s="143" customFormat="1" ht="12.75" customHeight="1" thickBot="1">
      <c r="A25" s="1113" t="s">
        <v>6</v>
      </c>
      <c r="B25" s="1121" t="s">
        <v>787</v>
      </c>
      <c r="C25" s="130">
        <f>+C26+C27+C28+C29+C30+C31</f>
        <v>0</v>
      </c>
      <c r="D25" s="131">
        <f>+D26+D27+D28+D29+D30+D31</f>
        <v>0</v>
      </c>
      <c r="E25" s="132">
        <f>+E26+E27+E28+E29+E30+E31</f>
        <v>0</v>
      </c>
      <c r="F25" s="133">
        <f>+F26+F27+F28+F29+F30+F31</f>
        <v>0</v>
      </c>
      <c r="H25" s="143">
        <f t="shared" si="0"/>
        <v>0</v>
      </c>
    </row>
    <row r="26" spans="1:8" ht="12.75" customHeight="1">
      <c r="A26" s="1122" t="s">
        <v>58</v>
      </c>
      <c r="B26" s="135" t="s">
        <v>102</v>
      </c>
      <c r="C26" s="136">
        <f t="shared" ref="C26:C31" si="2">+D26+E26+F26</f>
        <v>0</v>
      </c>
      <c r="D26" s="137"/>
      <c r="E26" s="138"/>
      <c r="F26" s="139"/>
      <c r="H26" s="141">
        <f t="shared" si="0"/>
        <v>0</v>
      </c>
    </row>
    <row r="27" spans="1:8" ht="12.75" customHeight="1">
      <c r="A27" s="1126" t="s">
        <v>59</v>
      </c>
      <c r="B27" s="1127" t="s">
        <v>103</v>
      </c>
      <c r="C27" s="129">
        <f t="shared" si="2"/>
        <v>0</v>
      </c>
      <c r="D27" s="1094"/>
      <c r="E27" s="1095"/>
      <c r="F27" s="1096"/>
      <c r="H27" s="141">
        <f t="shared" si="0"/>
        <v>0</v>
      </c>
    </row>
    <row r="28" spans="1:8" ht="12.75" customHeight="1">
      <c r="A28" s="1126" t="s">
        <v>60</v>
      </c>
      <c r="B28" s="1127" t="s">
        <v>104</v>
      </c>
      <c r="C28" s="129">
        <f t="shared" si="2"/>
        <v>0</v>
      </c>
      <c r="D28" s="1094"/>
      <c r="E28" s="1095"/>
      <c r="F28" s="1096"/>
      <c r="H28" s="141">
        <f t="shared" si="0"/>
        <v>0</v>
      </c>
    </row>
    <row r="29" spans="1:8" ht="12.75" customHeight="1">
      <c r="A29" s="1126" t="s">
        <v>180</v>
      </c>
      <c r="B29" s="1127" t="s">
        <v>105</v>
      </c>
      <c r="C29" s="129">
        <f t="shared" si="2"/>
        <v>0</v>
      </c>
      <c r="D29" s="1094"/>
      <c r="E29" s="1095"/>
      <c r="F29" s="1096"/>
      <c r="H29" s="141">
        <f t="shared" si="0"/>
        <v>0</v>
      </c>
    </row>
    <row r="30" spans="1:8" ht="12.75" customHeight="1">
      <c r="A30" s="1128" t="s">
        <v>181</v>
      </c>
      <c r="B30" s="1129" t="s">
        <v>106</v>
      </c>
      <c r="C30" s="142">
        <f t="shared" si="2"/>
        <v>0</v>
      </c>
      <c r="D30" s="1094"/>
      <c r="E30" s="1095"/>
      <c r="F30" s="1096"/>
      <c r="H30" s="141">
        <f t="shared" si="0"/>
        <v>0</v>
      </c>
    </row>
    <row r="31" spans="1:8" ht="12.75" customHeight="1" thickBot="1">
      <c r="A31" s="1128" t="s">
        <v>786</v>
      </c>
      <c r="B31" s="1129" t="s">
        <v>788</v>
      </c>
      <c r="C31" s="142">
        <f t="shared" si="2"/>
        <v>0</v>
      </c>
      <c r="D31" s="1094"/>
      <c r="E31" s="1095"/>
      <c r="F31" s="1096"/>
      <c r="H31" s="141">
        <f t="shared" si="0"/>
        <v>0</v>
      </c>
    </row>
    <row r="32" spans="1:8" s="143" customFormat="1" ht="12.75" customHeight="1" thickBot="1">
      <c r="A32" s="1113" t="s">
        <v>3</v>
      </c>
      <c r="B32" s="1121" t="s">
        <v>981</v>
      </c>
      <c r="C32" s="130">
        <f>+C33+C34+C35+C36+C37+C38+C39+C40+C41+C42+C43</f>
        <v>0</v>
      </c>
      <c r="D32" s="131">
        <f>+D33+D34+D35+D36+D37+D38+D39+D40+D41+D42+D43</f>
        <v>0</v>
      </c>
      <c r="E32" s="132">
        <f>+E33+E34+E35+E36+E37+E38+E39+E40+E41+E42+E43</f>
        <v>0</v>
      </c>
      <c r="F32" s="133">
        <f>+F33+F34+F35+F36+F37+F38+F39+F40+F41+F42+F43</f>
        <v>0</v>
      </c>
      <c r="H32" s="143">
        <f t="shared" si="0"/>
        <v>0</v>
      </c>
    </row>
    <row r="33" spans="1:8" ht="12.75" customHeight="1">
      <c r="A33" s="1122" t="s">
        <v>61</v>
      </c>
      <c r="B33" s="135" t="s">
        <v>107</v>
      </c>
      <c r="C33" s="136">
        <f t="shared" ref="C33:C43" si="3">+D33+E33+F33</f>
        <v>0</v>
      </c>
      <c r="D33" s="137"/>
      <c r="E33" s="138"/>
      <c r="F33" s="139"/>
      <c r="H33" s="141">
        <f t="shared" si="0"/>
        <v>0</v>
      </c>
    </row>
    <row r="34" spans="1:8" ht="12.75" customHeight="1">
      <c r="A34" s="1126" t="s">
        <v>62</v>
      </c>
      <c r="B34" s="1127" t="s">
        <v>108</v>
      </c>
      <c r="C34" s="129">
        <f t="shared" si="3"/>
        <v>0</v>
      </c>
      <c r="D34" s="1094"/>
      <c r="E34" s="1095"/>
      <c r="F34" s="1096"/>
      <c r="H34" s="141">
        <f t="shared" si="0"/>
        <v>0</v>
      </c>
    </row>
    <row r="35" spans="1:8" ht="12.75" customHeight="1">
      <c r="A35" s="1126" t="s">
        <v>63</v>
      </c>
      <c r="B35" s="1127" t="s">
        <v>109</v>
      </c>
      <c r="C35" s="129">
        <f t="shared" si="3"/>
        <v>0</v>
      </c>
      <c r="D35" s="1094"/>
      <c r="E35" s="1095"/>
      <c r="F35" s="1096"/>
      <c r="H35" s="141">
        <f t="shared" si="0"/>
        <v>0</v>
      </c>
    </row>
    <row r="36" spans="1:8" ht="12.75" customHeight="1">
      <c r="A36" s="1126" t="s">
        <v>64</v>
      </c>
      <c r="B36" s="1127" t="s">
        <v>110</v>
      </c>
      <c r="C36" s="129">
        <f t="shared" si="3"/>
        <v>0</v>
      </c>
      <c r="D36" s="1094"/>
      <c r="E36" s="1095"/>
      <c r="F36" s="1096"/>
      <c r="H36" s="141">
        <f t="shared" si="0"/>
        <v>0</v>
      </c>
    </row>
    <row r="37" spans="1:8" ht="12.75" customHeight="1">
      <c r="A37" s="1126" t="s">
        <v>65</v>
      </c>
      <c r="B37" s="1127" t="s">
        <v>111</v>
      </c>
      <c r="C37" s="129">
        <f t="shared" si="3"/>
        <v>0</v>
      </c>
      <c r="D37" s="1094"/>
      <c r="E37" s="1095"/>
      <c r="F37" s="1096"/>
      <c r="H37" s="141">
        <f t="shared" si="0"/>
        <v>0</v>
      </c>
    </row>
    <row r="38" spans="1:8" ht="12.75" customHeight="1">
      <c r="A38" s="1126" t="s">
        <v>222</v>
      </c>
      <c r="B38" s="1127" t="s">
        <v>112</v>
      </c>
      <c r="C38" s="129">
        <f t="shared" si="3"/>
        <v>0</v>
      </c>
      <c r="D38" s="1094"/>
      <c r="E38" s="1095"/>
      <c r="F38" s="1096"/>
      <c r="H38" s="141">
        <f t="shared" si="0"/>
        <v>0</v>
      </c>
    </row>
    <row r="39" spans="1:8" ht="12.75" customHeight="1">
      <c r="A39" s="1126" t="s">
        <v>223</v>
      </c>
      <c r="B39" s="1127" t="s">
        <v>113</v>
      </c>
      <c r="C39" s="129">
        <f t="shared" si="3"/>
        <v>0</v>
      </c>
      <c r="D39" s="1094"/>
      <c r="E39" s="1095"/>
      <c r="F39" s="1096"/>
      <c r="H39" s="141">
        <f t="shared" si="0"/>
        <v>0</v>
      </c>
    </row>
    <row r="40" spans="1:8" ht="12.75" customHeight="1">
      <c r="A40" s="1126" t="s">
        <v>224</v>
      </c>
      <c r="B40" s="1127" t="s">
        <v>991</v>
      </c>
      <c r="C40" s="129">
        <f t="shared" si="3"/>
        <v>0</v>
      </c>
      <c r="D40" s="1094"/>
      <c r="E40" s="1095"/>
      <c r="F40" s="1096"/>
      <c r="H40" s="141">
        <f t="shared" si="0"/>
        <v>0</v>
      </c>
    </row>
    <row r="41" spans="1:8" ht="12.75" customHeight="1">
      <c r="A41" s="1126" t="s">
        <v>225</v>
      </c>
      <c r="B41" s="1127" t="s">
        <v>114</v>
      </c>
      <c r="C41" s="129">
        <f t="shared" si="3"/>
        <v>0</v>
      </c>
      <c r="D41" s="1094"/>
      <c r="E41" s="1095"/>
      <c r="F41" s="1096"/>
      <c r="H41" s="141">
        <f t="shared" si="0"/>
        <v>0</v>
      </c>
    </row>
    <row r="42" spans="1:8" ht="12.75" customHeight="1">
      <c r="A42" s="1128" t="s">
        <v>226</v>
      </c>
      <c r="B42" s="1129" t="s">
        <v>908</v>
      </c>
      <c r="C42" s="129">
        <f>+D42+E42+F42</f>
        <v>0</v>
      </c>
      <c r="D42" s="1094"/>
      <c r="E42" s="1095"/>
      <c r="F42" s="1096"/>
      <c r="H42" s="141">
        <f t="shared" si="0"/>
        <v>0</v>
      </c>
    </row>
    <row r="43" spans="1:8" ht="12.75" customHeight="1" thickBot="1">
      <c r="A43" s="1128" t="s">
        <v>907</v>
      </c>
      <c r="B43" s="1129" t="s">
        <v>909</v>
      </c>
      <c r="C43" s="142">
        <f t="shared" si="3"/>
        <v>0</v>
      </c>
      <c r="D43" s="1097"/>
      <c r="E43" s="1098"/>
      <c r="F43" s="1099"/>
      <c r="H43" s="141">
        <f t="shared" si="0"/>
        <v>0</v>
      </c>
    </row>
    <row r="44" spans="1:8" s="143" customFormat="1" ht="12.75" thickBot="1">
      <c r="A44" s="1113" t="s">
        <v>16</v>
      </c>
      <c r="B44" s="1121" t="s">
        <v>982</v>
      </c>
      <c r="C44" s="130">
        <f>+C45+C46+C47+C48+C49</f>
        <v>0</v>
      </c>
      <c r="D44" s="131">
        <f>+D45+D46+D47+D48+D49</f>
        <v>0</v>
      </c>
      <c r="E44" s="132">
        <f>+E45+E46+E47+E48+E49</f>
        <v>0</v>
      </c>
      <c r="F44" s="133">
        <f>+F45+F46+F47+F48+F49</f>
        <v>0</v>
      </c>
      <c r="H44" s="143">
        <f t="shared" si="0"/>
        <v>0</v>
      </c>
    </row>
    <row r="45" spans="1:8" ht="12.75" customHeight="1">
      <c r="A45" s="1122" t="s">
        <v>227</v>
      </c>
      <c r="B45" s="135" t="s">
        <v>115</v>
      </c>
      <c r="C45" s="136">
        <f>+D45+E45+F45</f>
        <v>0</v>
      </c>
      <c r="D45" s="137"/>
      <c r="E45" s="138"/>
      <c r="F45" s="139"/>
      <c r="H45" s="141">
        <f t="shared" si="0"/>
        <v>0</v>
      </c>
    </row>
    <row r="46" spans="1:8" ht="12.75" customHeight="1">
      <c r="A46" s="1122" t="s">
        <v>228</v>
      </c>
      <c r="B46" s="135" t="s">
        <v>910</v>
      </c>
      <c r="C46" s="136">
        <f>+D46+E46+F46</f>
        <v>0</v>
      </c>
      <c r="D46" s="137"/>
      <c r="E46" s="138"/>
      <c r="F46" s="139"/>
      <c r="H46" s="141">
        <f t="shared" si="0"/>
        <v>0</v>
      </c>
    </row>
    <row r="47" spans="1:8" ht="12.75" customHeight="1">
      <c r="A47" s="1122" t="s">
        <v>229</v>
      </c>
      <c r="B47" s="135" t="s">
        <v>911</v>
      </c>
      <c r="C47" s="136">
        <f>+D47+E47+F47</f>
        <v>0</v>
      </c>
      <c r="D47" s="137"/>
      <c r="E47" s="138"/>
      <c r="F47" s="139"/>
      <c r="H47" s="141">
        <f t="shared" si="0"/>
        <v>0</v>
      </c>
    </row>
    <row r="48" spans="1:8" ht="12.75" customHeight="1">
      <c r="A48" s="1126" t="s">
        <v>257</v>
      </c>
      <c r="B48" s="1127" t="s">
        <v>912</v>
      </c>
      <c r="C48" s="129">
        <f>+D48+E48+F48</f>
        <v>0</v>
      </c>
      <c r="D48" s="1094"/>
      <c r="E48" s="1095"/>
      <c r="F48" s="1096"/>
      <c r="H48" s="141">
        <f t="shared" si="0"/>
        <v>0</v>
      </c>
    </row>
    <row r="49" spans="1:8" ht="12.75" customHeight="1" thickBot="1">
      <c r="A49" s="1128" t="s">
        <v>258</v>
      </c>
      <c r="B49" s="1129" t="s">
        <v>913</v>
      </c>
      <c r="C49" s="142">
        <f>+D49+E49+F49</f>
        <v>0</v>
      </c>
      <c r="D49" s="1097"/>
      <c r="E49" s="1098"/>
      <c r="F49" s="1099"/>
      <c r="H49" s="141">
        <f t="shared" si="0"/>
        <v>0</v>
      </c>
    </row>
    <row r="50" spans="1:8" s="143" customFormat="1" ht="12.75" thickBot="1">
      <c r="A50" s="1113" t="s">
        <v>15</v>
      </c>
      <c r="B50" s="1136" t="s">
        <v>300</v>
      </c>
      <c r="C50" s="130">
        <f>+C51+C58+C64</f>
        <v>0</v>
      </c>
      <c r="D50" s="131">
        <f>+D51+D58+D64</f>
        <v>0</v>
      </c>
      <c r="E50" s="132">
        <f>+E51+E58+E64</f>
        <v>0</v>
      </c>
      <c r="F50" s="133">
        <f>+F51+F58+F64</f>
        <v>0</v>
      </c>
      <c r="H50" s="143">
        <f t="shared" si="0"/>
        <v>0</v>
      </c>
    </row>
    <row r="51" spans="1:8" s="143" customFormat="1" ht="12.75" customHeight="1" thickBot="1">
      <c r="A51" s="1113" t="s">
        <v>14</v>
      </c>
      <c r="B51" s="1121" t="s">
        <v>301</v>
      </c>
      <c r="C51" s="130">
        <f>+C52+C53+C54+C55+C56</f>
        <v>0</v>
      </c>
      <c r="D51" s="131">
        <f>+D52+D53+D54+D55+D56</f>
        <v>0</v>
      </c>
      <c r="E51" s="132">
        <f>+E52+E53+E54+E55+E56</f>
        <v>0</v>
      </c>
      <c r="F51" s="133">
        <f>+F52+F53+F54+F55+F56</f>
        <v>0</v>
      </c>
      <c r="H51" s="143">
        <f t="shared" si="0"/>
        <v>0</v>
      </c>
    </row>
    <row r="52" spans="1:8">
      <c r="A52" s="1122" t="s">
        <v>185</v>
      </c>
      <c r="B52" s="135" t="s">
        <v>116</v>
      </c>
      <c r="C52" s="136">
        <f t="shared" ref="C52:C57" si="4">+D52+E52+F52</f>
        <v>0</v>
      </c>
      <c r="D52" s="137"/>
      <c r="E52" s="138"/>
      <c r="F52" s="139"/>
      <c r="H52" s="141">
        <f t="shared" si="0"/>
        <v>0</v>
      </c>
    </row>
    <row r="53" spans="1:8">
      <c r="A53" s="1126" t="s">
        <v>186</v>
      </c>
      <c r="B53" s="1127" t="s">
        <v>117</v>
      </c>
      <c r="C53" s="129">
        <f t="shared" si="4"/>
        <v>0</v>
      </c>
      <c r="D53" s="1094"/>
      <c r="E53" s="1095"/>
      <c r="F53" s="1096"/>
      <c r="H53" s="141">
        <f t="shared" si="0"/>
        <v>0</v>
      </c>
    </row>
    <row r="54" spans="1:8">
      <c r="A54" s="1126" t="s">
        <v>187</v>
      </c>
      <c r="B54" s="1127" t="s">
        <v>118</v>
      </c>
      <c r="C54" s="129">
        <f t="shared" si="4"/>
        <v>0</v>
      </c>
      <c r="D54" s="1094"/>
      <c r="E54" s="1095"/>
      <c r="F54" s="1096"/>
      <c r="H54" s="141">
        <f t="shared" si="0"/>
        <v>0</v>
      </c>
    </row>
    <row r="55" spans="1:8">
      <c r="A55" s="1126" t="s">
        <v>188</v>
      </c>
      <c r="B55" s="1127" t="s">
        <v>119</v>
      </c>
      <c r="C55" s="129">
        <f t="shared" si="4"/>
        <v>0</v>
      </c>
      <c r="D55" s="1094"/>
      <c r="E55" s="1095"/>
      <c r="F55" s="1096"/>
      <c r="H55" s="141">
        <f t="shared" si="0"/>
        <v>0</v>
      </c>
    </row>
    <row r="56" spans="1:8">
      <c r="A56" s="1128" t="s">
        <v>189</v>
      </c>
      <c r="B56" s="1129" t="s">
        <v>120</v>
      </c>
      <c r="C56" s="142">
        <f t="shared" si="4"/>
        <v>0</v>
      </c>
      <c r="D56" s="1097"/>
      <c r="E56" s="1098"/>
      <c r="F56" s="1099"/>
      <c r="H56" s="141">
        <f t="shared" si="0"/>
        <v>0</v>
      </c>
    </row>
    <row r="57" spans="1:8" s="140" customFormat="1" ht="12.75" thickBot="1">
      <c r="A57" s="1130" t="s">
        <v>334</v>
      </c>
      <c r="B57" s="1131" t="s">
        <v>338</v>
      </c>
      <c r="C57" s="1132">
        <f t="shared" si="4"/>
        <v>0</v>
      </c>
      <c r="D57" s="1133"/>
      <c r="E57" s="1134"/>
      <c r="F57" s="1135"/>
      <c r="H57" s="140">
        <f t="shared" si="0"/>
        <v>0</v>
      </c>
    </row>
    <row r="58" spans="1:8" s="143" customFormat="1" ht="12.75" customHeight="1" thickBot="1">
      <c r="A58" s="1113" t="s">
        <v>13</v>
      </c>
      <c r="B58" s="1121" t="s">
        <v>302</v>
      </c>
      <c r="C58" s="130">
        <f>+C59+C60+C61+C62+C63</f>
        <v>0</v>
      </c>
      <c r="D58" s="131">
        <f>+D59+D60+D61+D62+D63</f>
        <v>0</v>
      </c>
      <c r="E58" s="132">
        <f>+E59+E60+E61+E62+E63</f>
        <v>0</v>
      </c>
      <c r="F58" s="133">
        <f>+F59+F60+F61+F62+F63</f>
        <v>0</v>
      </c>
      <c r="H58" s="143">
        <f t="shared" si="0"/>
        <v>0</v>
      </c>
    </row>
    <row r="59" spans="1:8" ht="12.75" customHeight="1">
      <c r="A59" s="1122" t="s">
        <v>66</v>
      </c>
      <c r="B59" s="135" t="s">
        <v>121</v>
      </c>
      <c r="C59" s="136">
        <f>+D59+E59+F59</f>
        <v>0</v>
      </c>
      <c r="D59" s="137"/>
      <c r="E59" s="138"/>
      <c r="F59" s="139"/>
      <c r="H59" s="141">
        <f t="shared" si="0"/>
        <v>0</v>
      </c>
    </row>
    <row r="60" spans="1:8" ht="12.75" customHeight="1">
      <c r="A60" s="1126" t="s">
        <v>67</v>
      </c>
      <c r="B60" s="1127" t="s">
        <v>122</v>
      </c>
      <c r="C60" s="129">
        <f>+D60+E60+F60</f>
        <v>0</v>
      </c>
      <c r="D60" s="1094"/>
      <c r="E60" s="1095"/>
      <c r="F60" s="1096"/>
      <c r="H60" s="141">
        <f t="shared" si="0"/>
        <v>0</v>
      </c>
    </row>
    <row r="61" spans="1:8" ht="12.75" customHeight="1">
      <c r="A61" s="1126" t="s">
        <v>68</v>
      </c>
      <c r="B61" s="1127" t="s">
        <v>123</v>
      </c>
      <c r="C61" s="129">
        <f>+D61+E61+F61</f>
        <v>0</v>
      </c>
      <c r="D61" s="1094"/>
      <c r="E61" s="1095"/>
      <c r="F61" s="1096"/>
      <c r="H61" s="141">
        <f t="shared" si="0"/>
        <v>0</v>
      </c>
    </row>
    <row r="62" spans="1:8" ht="12.75" customHeight="1">
      <c r="A62" s="1126" t="s">
        <v>230</v>
      </c>
      <c r="B62" s="1127" t="s">
        <v>124</v>
      </c>
      <c r="C62" s="129">
        <f>+D62+E62+F62</f>
        <v>0</v>
      </c>
      <c r="D62" s="1094"/>
      <c r="E62" s="1095"/>
      <c r="F62" s="1096"/>
      <c r="H62" s="141">
        <f t="shared" si="0"/>
        <v>0</v>
      </c>
    </row>
    <row r="63" spans="1:8" ht="12.75" customHeight="1" thickBot="1">
      <c r="A63" s="1128" t="s">
        <v>231</v>
      </c>
      <c r="B63" s="1129" t="s">
        <v>125</v>
      </c>
      <c r="C63" s="142">
        <f>+D63+E63+F63</f>
        <v>0</v>
      </c>
      <c r="D63" s="1097"/>
      <c r="E63" s="1098"/>
      <c r="F63" s="1099"/>
      <c r="H63" s="141">
        <f t="shared" si="0"/>
        <v>0</v>
      </c>
    </row>
    <row r="64" spans="1:8" s="143" customFormat="1" ht="12.75" thickBot="1">
      <c r="A64" s="1113" t="s">
        <v>12</v>
      </c>
      <c r="B64" s="1121" t="s">
        <v>917</v>
      </c>
      <c r="C64" s="130">
        <f>+C65+C66+C67+C68+C69</f>
        <v>0</v>
      </c>
      <c r="D64" s="131">
        <f>+D65+D66+D67+D68+D69</f>
        <v>0</v>
      </c>
      <c r="E64" s="132">
        <f>+E65+E66+E67+E68+E69</f>
        <v>0</v>
      </c>
      <c r="F64" s="133">
        <f>+F65+F66+F67+F68+F69</f>
        <v>0</v>
      </c>
      <c r="H64" s="143">
        <f t="shared" si="0"/>
        <v>0</v>
      </c>
    </row>
    <row r="65" spans="1:8">
      <c r="A65" s="1122" t="s">
        <v>69</v>
      </c>
      <c r="B65" s="135" t="s">
        <v>126</v>
      </c>
      <c r="C65" s="136">
        <f>+D65+E65+F65</f>
        <v>0</v>
      </c>
      <c r="D65" s="137"/>
      <c r="E65" s="138"/>
      <c r="F65" s="139"/>
      <c r="H65" s="141">
        <f t="shared" si="0"/>
        <v>0</v>
      </c>
    </row>
    <row r="66" spans="1:8">
      <c r="A66" s="1122" t="s">
        <v>70</v>
      </c>
      <c r="B66" s="135" t="s">
        <v>918</v>
      </c>
      <c r="C66" s="136">
        <f>+D66+E66+F66</f>
        <v>0</v>
      </c>
      <c r="D66" s="137"/>
      <c r="E66" s="138"/>
      <c r="F66" s="139"/>
      <c r="H66" s="141">
        <f t="shared" si="0"/>
        <v>0</v>
      </c>
    </row>
    <row r="67" spans="1:8">
      <c r="A67" s="1122" t="s">
        <v>71</v>
      </c>
      <c r="B67" s="135" t="s">
        <v>919</v>
      </c>
      <c r="C67" s="136">
        <f>+D67+E67+F67</f>
        <v>0</v>
      </c>
      <c r="D67" s="137"/>
      <c r="E67" s="138"/>
      <c r="F67" s="139"/>
      <c r="H67" s="141">
        <f t="shared" si="0"/>
        <v>0</v>
      </c>
    </row>
    <row r="68" spans="1:8">
      <c r="A68" s="1126" t="s">
        <v>72</v>
      </c>
      <c r="B68" s="1127" t="s">
        <v>915</v>
      </c>
      <c r="C68" s="129">
        <f>+D68+E68+F68</f>
        <v>0</v>
      </c>
      <c r="D68" s="1094"/>
      <c r="E68" s="1095"/>
      <c r="F68" s="1096"/>
      <c r="H68" s="141">
        <f t="shared" si="0"/>
        <v>0</v>
      </c>
    </row>
    <row r="69" spans="1:8" ht="12.75" thickBot="1">
      <c r="A69" s="1128" t="s">
        <v>914</v>
      </c>
      <c r="B69" s="1129" t="s">
        <v>916</v>
      </c>
      <c r="C69" s="142">
        <f>+D69+E69+F69</f>
        <v>0</v>
      </c>
      <c r="D69" s="1097"/>
      <c r="E69" s="1098"/>
      <c r="F69" s="1099"/>
      <c r="H69" s="141">
        <f t="shared" si="0"/>
        <v>0</v>
      </c>
    </row>
    <row r="70" spans="1:8" s="143" customFormat="1" ht="12.75" thickBot="1">
      <c r="A70" s="1113" t="s">
        <v>11</v>
      </c>
      <c r="B70" s="1136" t="s">
        <v>303</v>
      </c>
      <c r="C70" s="130">
        <f>+C10+C50</f>
        <v>0</v>
      </c>
      <c r="D70" s="131">
        <f>+D10+D50</f>
        <v>0</v>
      </c>
      <c r="E70" s="132">
        <f>+E10+E50</f>
        <v>0</v>
      </c>
      <c r="F70" s="133">
        <f>+F10+F50</f>
        <v>0</v>
      </c>
      <c r="H70" s="143">
        <f t="shared" si="0"/>
        <v>0</v>
      </c>
    </row>
    <row r="71" spans="1:8" s="143" customFormat="1" ht="12.75" thickBot="1">
      <c r="A71" s="1113" t="s">
        <v>10</v>
      </c>
      <c r="B71" s="1137" t="s">
        <v>304</v>
      </c>
      <c r="C71" s="130">
        <f>+C72</f>
        <v>73861</v>
      </c>
      <c r="D71" s="131">
        <f>+D72</f>
        <v>73861</v>
      </c>
      <c r="E71" s="132">
        <f>+E72</f>
        <v>0</v>
      </c>
      <c r="F71" s="133">
        <f>+F72</f>
        <v>0</v>
      </c>
      <c r="H71" s="143">
        <f t="shared" si="0"/>
        <v>0</v>
      </c>
    </row>
    <row r="72" spans="1:8" s="143" customFormat="1" ht="12.75" thickBot="1">
      <c r="A72" s="1113" t="s">
        <v>9</v>
      </c>
      <c r="B72" s="1121" t="s">
        <v>926</v>
      </c>
      <c r="C72" s="130">
        <f>+C73+C83+C84+C85</f>
        <v>73861</v>
      </c>
      <c r="D72" s="131">
        <f>+D73+D83+D84+D85</f>
        <v>73861</v>
      </c>
      <c r="E72" s="132">
        <f>+E73+E83+E84+E85</f>
        <v>0</v>
      </c>
      <c r="F72" s="133">
        <f>+F73+F83+F84+F85</f>
        <v>0</v>
      </c>
      <c r="H72" s="143">
        <f t="shared" si="0"/>
        <v>0</v>
      </c>
    </row>
    <row r="73" spans="1:8">
      <c r="A73" s="1122" t="s">
        <v>73</v>
      </c>
      <c r="B73" s="135" t="s">
        <v>921</v>
      </c>
      <c r="C73" s="136">
        <f>+C74+C75+C76+C77+C78+C79+C80+C81+C82</f>
        <v>73861</v>
      </c>
      <c r="D73" s="137">
        <f>+D74+D75+D76+D77+D78+D79+D80+D81+D82</f>
        <v>73861</v>
      </c>
      <c r="E73" s="138">
        <f>+E74+E75+E76+E77+E78+E79+E80+E81+E82</f>
        <v>0</v>
      </c>
      <c r="F73" s="139">
        <f>+F74+F75+F76+F77+F78+F79+F80+F81+F82</f>
        <v>0</v>
      </c>
      <c r="H73" s="141">
        <f t="shared" si="0"/>
        <v>0</v>
      </c>
    </row>
    <row r="74" spans="1:8" s="140" customFormat="1">
      <c r="A74" s="127" t="s">
        <v>196</v>
      </c>
      <c r="B74" s="128" t="s">
        <v>920</v>
      </c>
      <c r="C74" s="134">
        <f t="shared" ref="C74:C84" si="5">+D74+E74+F74</f>
        <v>0</v>
      </c>
      <c r="D74" s="769"/>
      <c r="E74" s="770"/>
      <c r="F74" s="771"/>
      <c r="H74" s="140">
        <f t="shared" si="0"/>
        <v>0</v>
      </c>
    </row>
    <row r="75" spans="1:8" s="140" customFormat="1">
      <c r="A75" s="127" t="s">
        <v>197</v>
      </c>
      <c r="B75" s="128" t="s">
        <v>247</v>
      </c>
      <c r="C75" s="134">
        <f t="shared" si="5"/>
        <v>0</v>
      </c>
      <c r="D75" s="769"/>
      <c r="E75" s="770"/>
      <c r="F75" s="771"/>
      <c r="H75" s="140">
        <f t="shared" ref="H75:H138" si="6">+C75-D75-E75-F75</f>
        <v>0</v>
      </c>
    </row>
    <row r="76" spans="1:8" s="140" customFormat="1">
      <c r="A76" s="127" t="s">
        <v>198</v>
      </c>
      <c r="B76" s="128" t="s">
        <v>248</v>
      </c>
      <c r="C76" s="134">
        <f t="shared" si="5"/>
        <v>0</v>
      </c>
      <c r="D76" s="769"/>
      <c r="E76" s="770"/>
      <c r="F76" s="771"/>
      <c r="H76" s="140">
        <f t="shared" si="6"/>
        <v>0</v>
      </c>
    </row>
    <row r="77" spans="1:8" s="140" customFormat="1">
      <c r="A77" s="127" t="s">
        <v>199</v>
      </c>
      <c r="B77" s="128" t="s">
        <v>249</v>
      </c>
      <c r="C77" s="134">
        <f t="shared" si="5"/>
        <v>0</v>
      </c>
      <c r="D77" s="769"/>
      <c r="E77" s="770"/>
      <c r="F77" s="771"/>
      <c r="H77" s="140">
        <f t="shared" si="6"/>
        <v>0</v>
      </c>
    </row>
    <row r="78" spans="1:8" s="140" customFormat="1">
      <c r="A78" s="127" t="s">
        <v>200</v>
      </c>
      <c r="B78" s="128" t="s">
        <v>250</v>
      </c>
      <c r="C78" s="134">
        <f t="shared" si="5"/>
        <v>0</v>
      </c>
      <c r="D78" s="769"/>
      <c r="E78" s="770"/>
      <c r="F78" s="771"/>
      <c r="H78" s="140">
        <f t="shared" si="6"/>
        <v>0</v>
      </c>
    </row>
    <row r="79" spans="1:8" s="140" customFormat="1">
      <c r="A79" s="127" t="s">
        <v>201</v>
      </c>
      <c r="B79" s="128" t="s">
        <v>251</v>
      </c>
      <c r="C79" s="134">
        <f t="shared" si="5"/>
        <v>73861</v>
      </c>
      <c r="D79" s="769">
        <f>+D109-D10+D178-D74-D75-D76-D77-D78-D80-D81-D83-D84-D85</f>
        <v>73861</v>
      </c>
      <c r="E79" s="770">
        <f>+E109-E10+E178-E74-E75-E76-E77-E78-E80-E81-E83-E84-E85</f>
        <v>0</v>
      </c>
      <c r="F79" s="771">
        <f>+F109-F10+F178-F74-F75-F76-F77-F78-F80-F81-F83-F84-F85</f>
        <v>0</v>
      </c>
      <c r="H79" s="140">
        <f t="shared" si="6"/>
        <v>0</v>
      </c>
    </row>
    <row r="80" spans="1:8" s="140" customFormat="1">
      <c r="A80" s="127" t="s">
        <v>204</v>
      </c>
      <c r="B80" s="128" t="s">
        <v>252</v>
      </c>
      <c r="C80" s="134">
        <f t="shared" si="5"/>
        <v>0</v>
      </c>
      <c r="D80" s="769"/>
      <c r="E80" s="770"/>
      <c r="F80" s="771"/>
      <c r="H80" s="140">
        <f t="shared" si="6"/>
        <v>0</v>
      </c>
    </row>
    <row r="81" spans="1:8" s="140" customFormat="1">
      <c r="A81" s="127" t="s">
        <v>202</v>
      </c>
      <c r="B81" s="128" t="s">
        <v>245</v>
      </c>
      <c r="C81" s="134">
        <f t="shared" si="5"/>
        <v>0</v>
      </c>
      <c r="D81" s="769"/>
      <c r="E81" s="770"/>
      <c r="F81" s="771"/>
      <c r="H81" s="140">
        <f t="shared" si="6"/>
        <v>0</v>
      </c>
    </row>
    <row r="82" spans="1:8" s="140" customFormat="1">
      <c r="A82" s="127" t="s">
        <v>922</v>
      </c>
      <c r="B82" s="128" t="s">
        <v>923</v>
      </c>
      <c r="C82" s="134">
        <f>+D82+E82+F82</f>
        <v>0</v>
      </c>
      <c r="D82" s="769"/>
      <c r="E82" s="770"/>
      <c r="F82" s="771"/>
      <c r="H82" s="140">
        <f t="shared" si="6"/>
        <v>0</v>
      </c>
    </row>
    <row r="83" spans="1:8">
      <c r="A83" s="1126" t="s">
        <v>74</v>
      </c>
      <c r="B83" s="1127" t="s">
        <v>243</v>
      </c>
      <c r="C83" s="129">
        <f t="shared" si="5"/>
        <v>0</v>
      </c>
      <c r="D83" s="1094"/>
      <c r="E83" s="1095"/>
      <c r="F83" s="1096"/>
      <c r="H83" s="141">
        <f t="shared" si="6"/>
        <v>0</v>
      </c>
    </row>
    <row r="84" spans="1:8">
      <c r="A84" s="1128" t="s">
        <v>203</v>
      </c>
      <c r="B84" s="1129" t="s">
        <v>244</v>
      </c>
      <c r="C84" s="142">
        <f t="shared" si="5"/>
        <v>0</v>
      </c>
      <c r="D84" s="1097"/>
      <c r="E84" s="1098"/>
      <c r="F84" s="1099"/>
      <c r="H84" s="141">
        <f t="shared" si="6"/>
        <v>0</v>
      </c>
    </row>
    <row r="85" spans="1:8" ht="12.75" thickBot="1">
      <c r="A85" s="1128" t="s">
        <v>924</v>
      </c>
      <c r="B85" s="1129" t="s">
        <v>925</v>
      </c>
      <c r="C85" s="142">
        <f>+D85+E85+F85</f>
        <v>0</v>
      </c>
      <c r="D85" s="1097"/>
      <c r="E85" s="1098"/>
      <c r="F85" s="1099"/>
      <c r="H85" s="141">
        <f t="shared" si="6"/>
        <v>0</v>
      </c>
    </row>
    <row r="86" spans="1:8" s="143" customFormat="1" ht="12.75" thickBot="1">
      <c r="A86" s="1113" t="s">
        <v>45</v>
      </c>
      <c r="B86" s="1137" t="s">
        <v>305</v>
      </c>
      <c r="C86" s="130">
        <f>+C87</f>
        <v>0</v>
      </c>
      <c r="D86" s="131">
        <f>+D87</f>
        <v>0</v>
      </c>
      <c r="E86" s="132">
        <f>+E87</f>
        <v>0</v>
      </c>
      <c r="F86" s="133">
        <f>+F87</f>
        <v>0</v>
      </c>
      <c r="H86" s="143">
        <f t="shared" si="6"/>
        <v>0</v>
      </c>
    </row>
    <row r="87" spans="1:8" s="143" customFormat="1" ht="12.75" thickBot="1">
      <c r="A87" s="1113" t="s">
        <v>44</v>
      </c>
      <c r="B87" s="1121" t="s">
        <v>928</v>
      </c>
      <c r="C87" s="130">
        <f>+C88+C98+C99+C100</f>
        <v>0</v>
      </c>
      <c r="D87" s="131">
        <f>+D88+D98+D99+D100</f>
        <v>0</v>
      </c>
      <c r="E87" s="132">
        <f>+E88+E98+E99+E100</f>
        <v>0</v>
      </c>
      <c r="F87" s="133">
        <f>+F88+F98+F99+F100</f>
        <v>0</v>
      </c>
      <c r="H87" s="143">
        <f t="shared" si="6"/>
        <v>0</v>
      </c>
    </row>
    <row r="88" spans="1:8">
      <c r="A88" s="1122" t="s">
        <v>232</v>
      </c>
      <c r="B88" s="135" t="s">
        <v>983</v>
      </c>
      <c r="C88" s="136">
        <f>+C89+C90+C91+C92+C93+C94+C95+C96+C97</f>
        <v>0</v>
      </c>
      <c r="D88" s="137">
        <f>+D89+D90+D91+D92+D93+D94+D95+D96+D97</f>
        <v>0</v>
      </c>
      <c r="E88" s="138">
        <f>+E89+E90+E91+E92+E93+E94+E95+E96+E97</f>
        <v>0</v>
      </c>
      <c r="F88" s="139">
        <f>+F89+F90+F91+F92+F93+F94+F95+F96+F97</f>
        <v>0</v>
      </c>
      <c r="H88" s="141">
        <f t="shared" si="6"/>
        <v>0</v>
      </c>
    </row>
    <row r="89" spans="1:8" s="140" customFormat="1">
      <c r="A89" s="127" t="s">
        <v>233</v>
      </c>
      <c r="B89" s="128" t="s">
        <v>920</v>
      </c>
      <c r="C89" s="134">
        <f t="shared" ref="C89:C99" si="7">+D89+E89+F89</f>
        <v>0</v>
      </c>
      <c r="D89" s="769"/>
      <c r="E89" s="770"/>
      <c r="F89" s="771"/>
      <c r="H89" s="140">
        <f t="shared" si="6"/>
        <v>0</v>
      </c>
    </row>
    <row r="90" spans="1:8" s="140" customFormat="1">
      <c r="A90" s="127" t="s">
        <v>234</v>
      </c>
      <c r="B90" s="128" t="s">
        <v>247</v>
      </c>
      <c r="C90" s="134">
        <f t="shared" si="7"/>
        <v>0</v>
      </c>
      <c r="D90" s="769"/>
      <c r="E90" s="770"/>
      <c r="F90" s="771"/>
      <c r="H90" s="140">
        <f t="shared" si="6"/>
        <v>0</v>
      </c>
    </row>
    <row r="91" spans="1:8" s="140" customFormat="1">
      <c r="A91" s="127" t="s">
        <v>235</v>
      </c>
      <c r="B91" s="128" t="s">
        <v>248</v>
      </c>
      <c r="C91" s="134">
        <f t="shared" si="7"/>
        <v>0</v>
      </c>
      <c r="D91" s="769"/>
      <c r="E91" s="770"/>
      <c r="F91" s="771"/>
      <c r="H91" s="140">
        <f t="shared" si="6"/>
        <v>0</v>
      </c>
    </row>
    <row r="92" spans="1:8" s="140" customFormat="1">
      <c r="A92" s="127" t="s">
        <v>236</v>
      </c>
      <c r="B92" s="128" t="s">
        <v>249</v>
      </c>
      <c r="C92" s="134">
        <f t="shared" si="7"/>
        <v>0</v>
      </c>
      <c r="D92" s="769"/>
      <c r="E92" s="770"/>
      <c r="F92" s="771"/>
      <c r="H92" s="140">
        <f t="shared" si="6"/>
        <v>0</v>
      </c>
    </row>
    <row r="93" spans="1:8" s="140" customFormat="1">
      <c r="A93" s="127" t="s">
        <v>237</v>
      </c>
      <c r="B93" s="128" t="s">
        <v>250</v>
      </c>
      <c r="C93" s="134">
        <f t="shared" si="7"/>
        <v>0</v>
      </c>
      <c r="D93" s="769"/>
      <c r="E93" s="770"/>
      <c r="F93" s="771"/>
      <c r="H93" s="140">
        <f t="shared" si="6"/>
        <v>0</v>
      </c>
    </row>
    <row r="94" spans="1:8" s="140" customFormat="1">
      <c r="A94" s="127" t="s">
        <v>238</v>
      </c>
      <c r="B94" s="128" t="s">
        <v>251</v>
      </c>
      <c r="C94" s="134">
        <f t="shared" si="7"/>
        <v>0</v>
      </c>
      <c r="D94" s="769">
        <f>+D149-D50+D192-D89-D90-D91-D92-D93-D95-D96-D98-D99-D100</f>
        <v>0</v>
      </c>
      <c r="E94" s="770">
        <f>+E149-E50+E192-E89-E90-E91-E92-E93-E95-E96-E98-E99-E100</f>
        <v>0</v>
      </c>
      <c r="F94" s="771">
        <f>+F149-F50+F192-F89-F90-F91-F92-F93-F95-F96-F98-F99-F100</f>
        <v>0</v>
      </c>
      <c r="H94" s="140">
        <f t="shared" si="6"/>
        <v>0</v>
      </c>
    </row>
    <row r="95" spans="1:8" s="140" customFormat="1">
      <c r="A95" s="127" t="s">
        <v>239</v>
      </c>
      <c r="B95" s="128" t="s">
        <v>252</v>
      </c>
      <c r="C95" s="134">
        <f t="shared" si="7"/>
        <v>0</v>
      </c>
      <c r="D95" s="769"/>
      <c r="E95" s="770"/>
      <c r="F95" s="771"/>
      <c r="H95" s="140">
        <f t="shared" si="6"/>
        <v>0</v>
      </c>
    </row>
    <row r="96" spans="1:8" s="140" customFormat="1">
      <c r="A96" s="127" t="s">
        <v>240</v>
      </c>
      <c r="B96" s="128" t="s">
        <v>245</v>
      </c>
      <c r="C96" s="134">
        <f t="shared" si="7"/>
        <v>0</v>
      </c>
      <c r="D96" s="769"/>
      <c r="E96" s="770"/>
      <c r="F96" s="771"/>
      <c r="H96" s="140">
        <f t="shared" si="6"/>
        <v>0</v>
      </c>
    </row>
    <row r="97" spans="1:8" s="140" customFormat="1">
      <c r="A97" s="127" t="s">
        <v>927</v>
      </c>
      <c r="B97" s="128" t="s">
        <v>923</v>
      </c>
      <c r="C97" s="134">
        <f>+D97+E97+F97</f>
        <v>0</v>
      </c>
      <c r="D97" s="769"/>
      <c r="E97" s="770"/>
      <c r="F97" s="771"/>
      <c r="H97" s="140">
        <f t="shared" si="6"/>
        <v>0</v>
      </c>
    </row>
    <row r="98" spans="1:8">
      <c r="A98" s="1126" t="s">
        <v>241</v>
      </c>
      <c r="B98" s="1127" t="s">
        <v>243</v>
      </c>
      <c r="C98" s="129">
        <f t="shared" si="7"/>
        <v>0</v>
      </c>
      <c r="D98" s="1094"/>
      <c r="E98" s="1095"/>
      <c r="F98" s="1096"/>
      <c r="H98" s="141">
        <f t="shared" si="6"/>
        <v>0</v>
      </c>
    </row>
    <row r="99" spans="1:8">
      <c r="A99" s="1128" t="s">
        <v>242</v>
      </c>
      <c r="B99" s="1129" t="s">
        <v>244</v>
      </c>
      <c r="C99" s="142">
        <f t="shared" si="7"/>
        <v>0</v>
      </c>
      <c r="D99" s="1097"/>
      <c r="E99" s="1098"/>
      <c r="F99" s="1099"/>
      <c r="H99" s="141">
        <f t="shared" si="6"/>
        <v>0</v>
      </c>
    </row>
    <row r="100" spans="1:8" ht="12.75" thickBot="1">
      <c r="A100" s="1128" t="s">
        <v>929</v>
      </c>
      <c r="B100" s="1129" t="s">
        <v>925</v>
      </c>
      <c r="C100" s="142">
        <f>+D100+E100+F100</f>
        <v>0</v>
      </c>
      <c r="D100" s="1097"/>
      <c r="E100" s="1098"/>
      <c r="F100" s="1099"/>
      <c r="H100" s="141">
        <f t="shared" si="6"/>
        <v>0</v>
      </c>
    </row>
    <row r="101" spans="1:8" s="143" customFormat="1" ht="12.75" thickBot="1">
      <c r="A101" s="1113" t="s">
        <v>43</v>
      </c>
      <c r="B101" s="1136" t="s">
        <v>306</v>
      </c>
      <c r="C101" s="130">
        <f>+C71+C86</f>
        <v>73861</v>
      </c>
      <c r="D101" s="131">
        <f>+D71+D86</f>
        <v>73861</v>
      </c>
      <c r="E101" s="132">
        <f>+E71+E86</f>
        <v>0</v>
      </c>
      <c r="F101" s="133">
        <f>+F71+F86</f>
        <v>0</v>
      </c>
      <c r="H101" s="143">
        <f t="shared" si="6"/>
        <v>0</v>
      </c>
    </row>
    <row r="102" spans="1:8" s="143" customFormat="1" ht="12.75" thickBot="1">
      <c r="A102" s="1138" t="s">
        <v>40</v>
      </c>
      <c r="B102" s="1139" t="s">
        <v>307</v>
      </c>
      <c r="C102" s="1140">
        <f>+C70+C101</f>
        <v>73861</v>
      </c>
      <c r="D102" s="1141">
        <f>+D70+D101</f>
        <v>73861</v>
      </c>
      <c r="E102" s="1142">
        <f>+E70+E101</f>
        <v>0</v>
      </c>
      <c r="F102" s="1143">
        <f>+F70+F101</f>
        <v>0</v>
      </c>
      <c r="H102" s="143">
        <f t="shared" si="6"/>
        <v>0</v>
      </c>
    </row>
    <row r="103" spans="1:8" s="143" customFormat="1">
      <c r="A103" s="1144"/>
      <c r="B103" s="1145"/>
      <c r="C103" s="1145"/>
      <c r="D103" s="1145"/>
      <c r="E103" s="1145"/>
      <c r="F103" s="1145"/>
    </row>
    <row r="104" spans="1:8" s="143" customFormat="1">
      <c r="A104" s="1144"/>
      <c r="B104" s="1145"/>
      <c r="C104" s="1145"/>
      <c r="D104" s="1145"/>
      <c r="E104" s="1145"/>
      <c r="F104" s="1145"/>
    </row>
    <row r="105" spans="1:8" s="1102" customFormat="1" ht="15.75">
      <c r="A105" s="1441" t="s">
        <v>80</v>
      </c>
      <c r="B105" s="1441"/>
      <c r="C105" s="1441"/>
      <c r="D105" s="1441"/>
      <c r="E105" s="1441"/>
      <c r="F105" s="1441"/>
    </row>
    <row r="106" spans="1:8" s="1104" customFormat="1" ht="12.75" thickBot="1">
      <c r="A106" s="1103" t="s">
        <v>279</v>
      </c>
      <c r="F106" s="1105" t="s">
        <v>281</v>
      </c>
    </row>
    <row r="107" spans="1:8" s="143" customFormat="1" ht="48.75" thickBot="1">
      <c r="A107" s="1106" t="s">
        <v>17</v>
      </c>
      <c r="B107" s="1146" t="s">
        <v>329</v>
      </c>
      <c r="C107" s="1147" t="s">
        <v>1317</v>
      </c>
      <c r="D107" s="1109" t="s">
        <v>51</v>
      </c>
      <c r="E107" s="1110" t="s">
        <v>52</v>
      </c>
      <c r="F107" s="1111" t="s">
        <v>53</v>
      </c>
    </row>
    <row r="108" spans="1:8" s="143" customFormat="1" ht="12.75" thickBot="1">
      <c r="A108" s="1148" t="s">
        <v>253</v>
      </c>
      <c r="B108" s="1149" t="s">
        <v>254</v>
      </c>
      <c r="C108" s="1445" t="s">
        <v>255</v>
      </c>
      <c r="D108" s="1446"/>
      <c r="E108" s="1446"/>
      <c r="F108" s="1447"/>
    </row>
    <row r="109" spans="1:8" s="143" customFormat="1" ht="12.75" thickBot="1">
      <c r="A109" s="1113" t="s">
        <v>4</v>
      </c>
      <c r="B109" s="1136" t="s">
        <v>308</v>
      </c>
      <c r="C109" s="130">
        <f>+C110+C114+C116+C123+C132</f>
        <v>73861</v>
      </c>
      <c r="D109" s="131">
        <f>+D110+D114+D116+D123+D132</f>
        <v>73861</v>
      </c>
      <c r="E109" s="132">
        <f>+E110+E114+E116+E123+E132</f>
        <v>0</v>
      </c>
      <c r="F109" s="133">
        <f>+F110+F114+F116+F123+F132</f>
        <v>0</v>
      </c>
      <c r="H109" s="143">
        <f t="shared" si="6"/>
        <v>0</v>
      </c>
    </row>
    <row r="110" spans="1:8" s="143" customFormat="1" ht="12.75" thickBot="1">
      <c r="A110" s="1113" t="s">
        <v>5</v>
      </c>
      <c r="B110" s="1121" t="s">
        <v>309</v>
      </c>
      <c r="C110" s="130">
        <f>+C112+C113</f>
        <v>54370</v>
      </c>
      <c r="D110" s="131">
        <f>+D112+D113</f>
        <v>54370</v>
      </c>
      <c r="E110" s="132">
        <f>+E112+E113</f>
        <v>0</v>
      </c>
      <c r="F110" s="133">
        <f>+F112+F113</f>
        <v>0</v>
      </c>
      <c r="H110" s="143">
        <f t="shared" si="6"/>
        <v>0</v>
      </c>
    </row>
    <row r="111" spans="1:8" s="1104" customFormat="1">
      <c r="A111" s="1150" t="s">
        <v>349</v>
      </c>
      <c r="B111" s="1151" t="s">
        <v>350</v>
      </c>
      <c r="C111" s="1152">
        <f>+D111+E111+F111</f>
        <v>0</v>
      </c>
      <c r="D111" s="1153"/>
      <c r="E111" s="1154"/>
      <c r="F111" s="1155"/>
      <c r="H111" s="1104">
        <f t="shared" si="6"/>
        <v>0</v>
      </c>
    </row>
    <row r="112" spans="1:8">
      <c r="A112" s="1122" t="s">
        <v>54</v>
      </c>
      <c r="B112" s="135" t="s">
        <v>127</v>
      </c>
      <c r="C112" s="136">
        <f>+D112+E112+F112</f>
        <v>54154</v>
      </c>
      <c r="D112" s="137">
        <v>54154</v>
      </c>
      <c r="E112" s="138"/>
      <c r="F112" s="139"/>
      <c r="H112" s="141">
        <f t="shared" si="6"/>
        <v>0</v>
      </c>
    </row>
    <row r="113" spans="1:8" ht="12.75" thickBot="1">
      <c r="A113" s="1128" t="s">
        <v>55</v>
      </c>
      <c r="B113" s="1129" t="s">
        <v>128</v>
      </c>
      <c r="C113" s="142">
        <f>+D113+E113+F113</f>
        <v>216</v>
      </c>
      <c r="D113" s="1097">
        <v>216</v>
      </c>
      <c r="E113" s="1098"/>
      <c r="F113" s="1099"/>
      <c r="H113" s="141">
        <f t="shared" si="6"/>
        <v>0</v>
      </c>
    </row>
    <row r="114" spans="1:8" s="143" customFormat="1" ht="12.75" thickBot="1">
      <c r="A114" s="1113" t="s">
        <v>6</v>
      </c>
      <c r="B114" s="1121" t="s">
        <v>256</v>
      </c>
      <c r="C114" s="130">
        <f>+D114+E114+F114</f>
        <v>10571</v>
      </c>
      <c r="D114" s="131">
        <v>10571</v>
      </c>
      <c r="E114" s="132"/>
      <c r="F114" s="133"/>
      <c r="H114" s="143">
        <f t="shared" si="6"/>
        <v>0</v>
      </c>
    </row>
    <row r="115" spans="1:8" s="1104" customFormat="1" ht="12.75" thickBot="1">
      <c r="A115" s="1150" t="s">
        <v>346</v>
      </c>
      <c r="B115" s="1151" t="s">
        <v>347</v>
      </c>
      <c r="C115" s="1152">
        <f>+D115+E115+F115</f>
        <v>0</v>
      </c>
      <c r="D115" s="1153"/>
      <c r="E115" s="1154"/>
      <c r="F115" s="1155"/>
      <c r="H115" s="1104">
        <f t="shared" si="6"/>
        <v>0</v>
      </c>
    </row>
    <row r="116" spans="1:8" s="143" customFormat="1" ht="12.75" thickBot="1">
      <c r="A116" s="1113" t="s">
        <v>3</v>
      </c>
      <c r="B116" s="1121" t="s">
        <v>343</v>
      </c>
      <c r="C116" s="130">
        <f>+C118+C119+C120+C121+C122</f>
        <v>8920</v>
      </c>
      <c r="D116" s="131">
        <f>+D118+D119+D120+D121+D122</f>
        <v>8920</v>
      </c>
      <c r="E116" s="132">
        <f>+E118+E119+E120+E121+E122</f>
        <v>0</v>
      </c>
      <c r="F116" s="133">
        <f>+F118+F119+F120+F121+F122</f>
        <v>0</v>
      </c>
      <c r="H116" s="143">
        <f t="shared" si="6"/>
        <v>0</v>
      </c>
    </row>
    <row r="117" spans="1:8" s="1104" customFormat="1">
      <c r="A117" s="1150" t="s">
        <v>341</v>
      </c>
      <c r="B117" s="1151" t="s">
        <v>348</v>
      </c>
      <c r="C117" s="1152">
        <f t="shared" ref="C117:C122" si="8">+D117+E117+F117</f>
        <v>0</v>
      </c>
      <c r="D117" s="1153"/>
      <c r="E117" s="1154"/>
      <c r="F117" s="1155"/>
      <c r="H117" s="1104">
        <f t="shared" si="6"/>
        <v>0</v>
      </c>
    </row>
    <row r="118" spans="1:8">
      <c r="A118" s="1122" t="s">
        <v>61</v>
      </c>
      <c r="B118" s="135" t="s">
        <v>129</v>
      </c>
      <c r="C118" s="136">
        <f t="shared" si="8"/>
        <v>1050</v>
      </c>
      <c r="D118" s="137">
        <v>1050</v>
      </c>
      <c r="E118" s="138"/>
      <c r="F118" s="139"/>
      <c r="H118" s="141">
        <f t="shared" si="6"/>
        <v>0</v>
      </c>
    </row>
    <row r="119" spans="1:8">
      <c r="A119" s="1126" t="s">
        <v>62</v>
      </c>
      <c r="B119" s="1127" t="s">
        <v>130</v>
      </c>
      <c r="C119" s="129">
        <f t="shared" si="8"/>
        <v>1680</v>
      </c>
      <c r="D119" s="1094">
        <v>1680</v>
      </c>
      <c r="E119" s="1095"/>
      <c r="F119" s="1096"/>
      <c r="H119" s="141">
        <f t="shared" si="6"/>
        <v>0</v>
      </c>
    </row>
    <row r="120" spans="1:8">
      <c r="A120" s="1126" t="s">
        <v>63</v>
      </c>
      <c r="B120" s="1127" t="s">
        <v>131</v>
      </c>
      <c r="C120" s="129">
        <f t="shared" si="8"/>
        <v>3666</v>
      </c>
      <c r="D120" s="1094">
        <v>3666</v>
      </c>
      <c r="E120" s="1095"/>
      <c r="F120" s="1096"/>
      <c r="H120" s="141">
        <f t="shared" si="6"/>
        <v>0</v>
      </c>
    </row>
    <row r="121" spans="1:8">
      <c r="A121" s="1126" t="s">
        <v>64</v>
      </c>
      <c r="B121" s="1127" t="s">
        <v>132</v>
      </c>
      <c r="C121" s="129">
        <f t="shared" si="8"/>
        <v>1500</v>
      </c>
      <c r="D121" s="1094">
        <v>1500</v>
      </c>
      <c r="E121" s="1095"/>
      <c r="F121" s="1096"/>
      <c r="H121" s="141">
        <f t="shared" si="6"/>
        <v>0</v>
      </c>
    </row>
    <row r="122" spans="1:8" ht="12.75" thickBot="1">
      <c r="A122" s="1128" t="s">
        <v>65</v>
      </c>
      <c r="B122" s="1129" t="s">
        <v>133</v>
      </c>
      <c r="C122" s="142">
        <f t="shared" si="8"/>
        <v>1024</v>
      </c>
      <c r="D122" s="1097">
        <v>1024</v>
      </c>
      <c r="E122" s="1098"/>
      <c r="F122" s="1099"/>
      <c r="H122" s="141">
        <f t="shared" si="6"/>
        <v>0</v>
      </c>
    </row>
    <row r="123" spans="1:8" s="143" customFormat="1" ht="12.75" thickBot="1">
      <c r="A123" s="1113" t="s">
        <v>16</v>
      </c>
      <c r="B123" s="1121" t="s">
        <v>310</v>
      </c>
      <c r="C123" s="130">
        <f>+C124+C125+C126+C127+C128+C129+C130+C131</f>
        <v>0</v>
      </c>
      <c r="D123" s="131">
        <f>+D124+D125+D126+D127+D128+D129+D130+D131</f>
        <v>0</v>
      </c>
      <c r="E123" s="132">
        <f>+E124+E125+E126+E127+E128+E129+E130+E131</f>
        <v>0</v>
      </c>
      <c r="F123" s="133">
        <f>+F124+F125+F126+F127+F128+F129+F130+F131</f>
        <v>0</v>
      </c>
      <c r="H123" s="143">
        <f t="shared" si="6"/>
        <v>0</v>
      </c>
    </row>
    <row r="124" spans="1:8">
      <c r="A124" s="1122" t="s">
        <v>227</v>
      </c>
      <c r="B124" s="135" t="s">
        <v>134</v>
      </c>
      <c r="C124" s="136">
        <f t="shared" ref="C124:C131" si="9">+D124+E124+F124</f>
        <v>0</v>
      </c>
      <c r="D124" s="137"/>
      <c r="E124" s="138"/>
      <c r="F124" s="139"/>
      <c r="H124" s="141">
        <f t="shared" si="6"/>
        <v>0</v>
      </c>
    </row>
    <row r="125" spans="1:8">
      <c r="A125" s="1126" t="s">
        <v>228</v>
      </c>
      <c r="B125" s="1127" t="s">
        <v>135</v>
      </c>
      <c r="C125" s="129">
        <f t="shared" si="9"/>
        <v>0</v>
      </c>
      <c r="D125" s="1094"/>
      <c r="E125" s="1095"/>
      <c r="F125" s="1096"/>
      <c r="H125" s="141">
        <f t="shared" si="6"/>
        <v>0</v>
      </c>
    </row>
    <row r="126" spans="1:8">
      <c r="A126" s="1126" t="s">
        <v>229</v>
      </c>
      <c r="B126" s="1127" t="s">
        <v>136</v>
      </c>
      <c r="C126" s="129">
        <f t="shared" si="9"/>
        <v>0</v>
      </c>
      <c r="D126" s="1094"/>
      <c r="E126" s="1095"/>
      <c r="F126" s="1096"/>
      <c r="H126" s="141">
        <f t="shared" si="6"/>
        <v>0</v>
      </c>
    </row>
    <row r="127" spans="1:8">
      <c r="A127" s="1126" t="s">
        <v>257</v>
      </c>
      <c r="B127" s="1127" t="s">
        <v>137</v>
      </c>
      <c r="C127" s="129">
        <f t="shared" si="9"/>
        <v>0</v>
      </c>
      <c r="D127" s="1094"/>
      <c r="E127" s="1095"/>
      <c r="F127" s="1096"/>
      <c r="H127" s="141">
        <f t="shared" si="6"/>
        <v>0</v>
      </c>
    </row>
    <row r="128" spans="1:8">
      <c r="A128" s="1126" t="s">
        <v>258</v>
      </c>
      <c r="B128" s="1127" t="s">
        <v>138</v>
      </c>
      <c r="C128" s="129">
        <f t="shared" si="9"/>
        <v>0</v>
      </c>
      <c r="D128" s="1094"/>
      <c r="E128" s="1095"/>
      <c r="F128" s="1096"/>
      <c r="H128" s="141">
        <f t="shared" si="6"/>
        <v>0</v>
      </c>
    </row>
    <row r="129" spans="1:8">
      <c r="A129" s="1126" t="s">
        <v>259</v>
      </c>
      <c r="B129" s="1127" t="s">
        <v>139</v>
      </c>
      <c r="C129" s="129">
        <f t="shared" si="9"/>
        <v>0</v>
      </c>
      <c r="D129" s="1094"/>
      <c r="E129" s="1095"/>
      <c r="F129" s="1096"/>
      <c r="H129" s="141">
        <f t="shared" si="6"/>
        <v>0</v>
      </c>
    </row>
    <row r="130" spans="1:8">
      <c r="A130" s="1126" t="s">
        <v>260</v>
      </c>
      <c r="B130" s="1127" t="s">
        <v>140</v>
      </c>
      <c r="C130" s="129">
        <f t="shared" si="9"/>
        <v>0</v>
      </c>
      <c r="D130" s="1094"/>
      <c r="E130" s="1095"/>
      <c r="F130" s="1096"/>
      <c r="H130" s="141">
        <f t="shared" si="6"/>
        <v>0</v>
      </c>
    </row>
    <row r="131" spans="1:8" ht="12.75" thickBot="1">
      <c r="A131" s="1128" t="s">
        <v>261</v>
      </c>
      <c r="B131" s="1129" t="s">
        <v>141</v>
      </c>
      <c r="C131" s="142">
        <f t="shared" si="9"/>
        <v>0</v>
      </c>
      <c r="D131" s="1097"/>
      <c r="E131" s="1098"/>
      <c r="F131" s="1099"/>
      <c r="H131" s="141">
        <f t="shared" si="6"/>
        <v>0</v>
      </c>
    </row>
    <row r="132" spans="1:8" s="143" customFormat="1" ht="12.75" thickBot="1">
      <c r="A132" s="1113" t="s">
        <v>15</v>
      </c>
      <c r="B132" s="1121" t="s">
        <v>933</v>
      </c>
      <c r="C132" s="130">
        <f>+C133+C134+C135+C136+C137+C138+C140+C141+C142+C143+C144+C145+C146</f>
        <v>0</v>
      </c>
      <c r="D132" s="131">
        <f>+D133+D134+D135+D136+D137+D138+D140+D141+D142+D143+D144+D145+D146</f>
        <v>0</v>
      </c>
      <c r="E132" s="132">
        <f>+E133+E134+E135+E136+E137+E138+E140+E141+E142+E143+E144+E145+E146</f>
        <v>0</v>
      </c>
      <c r="F132" s="133">
        <f>+F133+F134+F135+F136+F137+F138+F140+F141+F142+F143+F144+F145+F146</f>
        <v>0</v>
      </c>
      <c r="H132" s="143">
        <f t="shared" si="6"/>
        <v>0</v>
      </c>
    </row>
    <row r="133" spans="1:8">
      <c r="A133" s="1122" t="s">
        <v>87</v>
      </c>
      <c r="B133" s="135" t="s">
        <v>142</v>
      </c>
      <c r="C133" s="136">
        <f t="shared" ref="C133:C145" si="10">+D133+E133+F133</f>
        <v>0</v>
      </c>
      <c r="D133" s="137"/>
      <c r="E133" s="138"/>
      <c r="F133" s="139"/>
      <c r="H133" s="141">
        <f t="shared" si="6"/>
        <v>0</v>
      </c>
    </row>
    <row r="134" spans="1:8">
      <c r="A134" s="1126" t="s">
        <v>88</v>
      </c>
      <c r="B134" s="1127" t="s">
        <v>143</v>
      </c>
      <c r="C134" s="129">
        <f t="shared" si="10"/>
        <v>0</v>
      </c>
      <c r="D134" s="1094"/>
      <c r="E134" s="1095"/>
      <c r="F134" s="1096"/>
      <c r="H134" s="141">
        <f t="shared" si="6"/>
        <v>0</v>
      </c>
    </row>
    <row r="135" spans="1:8">
      <c r="A135" s="1126" t="s">
        <v>182</v>
      </c>
      <c r="B135" s="1127" t="s">
        <v>144</v>
      </c>
      <c r="C135" s="129">
        <f t="shared" si="10"/>
        <v>0</v>
      </c>
      <c r="D135" s="1094"/>
      <c r="E135" s="1095"/>
      <c r="F135" s="1096"/>
      <c r="H135" s="141">
        <f t="shared" si="6"/>
        <v>0</v>
      </c>
    </row>
    <row r="136" spans="1:8">
      <c r="A136" s="1126" t="s">
        <v>183</v>
      </c>
      <c r="B136" s="1127" t="s">
        <v>145</v>
      </c>
      <c r="C136" s="129">
        <f t="shared" si="10"/>
        <v>0</v>
      </c>
      <c r="D136" s="1094"/>
      <c r="E136" s="1095"/>
      <c r="F136" s="1096"/>
      <c r="H136" s="141">
        <f t="shared" si="6"/>
        <v>0</v>
      </c>
    </row>
    <row r="137" spans="1:8">
      <c r="A137" s="1126" t="s">
        <v>184</v>
      </c>
      <c r="B137" s="1127" t="s">
        <v>146</v>
      </c>
      <c r="C137" s="129">
        <f t="shared" si="10"/>
        <v>0</v>
      </c>
      <c r="D137" s="1094"/>
      <c r="E137" s="1095"/>
      <c r="F137" s="1096"/>
      <c r="H137" s="141">
        <f t="shared" si="6"/>
        <v>0</v>
      </c>
    </row>
    <row r="138" spans="1:8">
      <c r="A138" s="1126" t="s">
        <v>262</v>
      </c>
      <c r="B138" s="1127" t="s">
        <v>147</v>
      </c>
      <c r="C138" s="129">
        <f t="shared" si="10"/>
        <v>0</v>
      </c>
      <c r="D138" s="1094"/>
      <c r="E138" s="1095"/>
      <c r="F138" s="1096"/>
      <c r="H138" s="141">
        <f t="shared" si="6"/>
        <v>0</v>
      </c>
    </row>
    <row r="139" spans="1:8" s="140" customFormat="1">
      <c r="A139" s="1130" t="s">
        <v>336</v>
      </c>
      <c r="B139" s="1131" t="s">
        <v>939</v>
      </c>
      <c r="C139" s="1132">
        <f t="shared" si="10"/>
        <v>0</v>
      </c>
      <c r="D139" s="1133"/>
      <c r="E139" s="1134"/>
      <c r="F139" s="1135"/>
      <c r="H139" s="140">
        <f t="shared" ref="H139:H202" si="11">+C139-D139-E139-F139</f>
        <v>0</v>
      </c>
    </row>
    <row r="140" spans="1:8">
      <c r="A140" s="1126" t="s">
        <v>263</v>
      </c>
      <c r="B140" s="1127" t="s">
        <v>148</v>
      </c>
      <c r="C140" s="129">
        <f t="shared" si="10"/>
        <v>0</v>
      </c>
      <c r="D140" s="1094"/>
      <c r="E140" s="1095"/>
      <c r="F140" s="1096"/>
      <c r="H140" s="141">
        <f t="shared" si="11"/>
        <v>0</v>
      </c>
    </row>
    <row r="141" spans="1:8">
      <c r="A141" s="1126" t="s">
        <v>264</v>
      </c>
      <c r="B141" s="1127" t="s">
        <v>149</v>
      </c>
      <c r="C141" s="129">
        <f t="shared" si="10"/>
        <v>0</v>
      </c>
      <c r="D141" s="1094"/>
      <c r="E141" s="1095"/>
      <c r="F141" s="1096"/>
      <c r="H141" s="141">
        <f t="shared" si="11"/>
        <v>0</v>
      </c>
    </row>
    <row r="142" spans="1:8">
      <c r="A142" s="1126" t="s">
        <v>265</v>
      </c>
      <c r="B142" s="1127" t="s">
        <v>150</v>
      </c>
      <c r="C142" s="129">
        <f t="shared" si="10"/>
        <v>0</v>
      </c>
      <c r="D142" s="1094"/>
      <c r="E142" s="1095"/>
      <c r="F142" s="1096"/>
      <c r="H142" s="141">
        <f t="shared" si="11"/>
        <v>0</v>
      </c>
    </row>
    <row r="143" spans="1:8">
      <c r="A143" s="1126" t="s">
        <v>266</v>
      </c>
      <c r="B143" s="1127" t="s">
        <v>151</v>
      </c>
      <c r="C143" s="129">
        <f t="shared" si="10"/>
        <v>0</v>
      </c>
      <c r="D143" s="1094"/>
      <c r="E143" s="1095"/>
      <c r="F143" s="1096"/>
      <c r="H143" s="141">
        <f t="shared" si="11"/>
        <v>0</v>
      </c>
    </row>
    <row r="144" spans="1:8">
      <c r="A144" s="1126" t="s">
        <v>267</v>
      </c>
      <c r="B144" s="1127" t="s">
        <v>934</v>
      </c>
      <c r="C144" s="129">
        <f>+D144+E144+F144</f>
        <v>0</v>
      </c>
      <c r="D144" s="1094"/>
      <c r="E144" s="1095"/>
      <c r="F144" s="1096"/>
      <c r="H144" s="141">
        <f t="shared" si="11"/>
        <v>0</v>
      </c>
    </row>
    <row r="145" spans="1:8">
      <c r="A145" s="1126" t="s">
        <v>268</v>
      </c>
      <c r="B145" s="1127" t="s">
        <v>935</v>
      </c>
      <c r="C145" s="129">
        <f t="shared" si="10"/>
        <v>0</v>
      </c>
      <c r="D145" s="1094"/>
      <c r="E145" s="1095"/>
      <c r="F145" s="1096"/>
      <c r="H145" s="141">
        <f t="shared" si="11"/>
        <v>0</v>
      </c>
    </row>
    <row r="146" spans="1:8">
      <c r="A146" s="1128" t="s">
        <v>930</v>
      </c>
      <c r="B146" s="1129" t="s">
        <v>936</v>
      </c>
      <c r="C146" s="142">
        <f>+C147+C148</f>
        <v>0</v>
      </c>
      <c r="D146" s="1097">
        <f>+D147+D148</f>
        <v>0</v>
      </c>
      <c r="E146" s="1098">
        <f>+E147+E148</f>
        <v>0</v>
      </c>
      <c r="F146" s="1099">
        <f>+F147+F148</f>
        <v>0</v>
      </c>
      <c r="H146" s="141">
        <f t="shared" si="11"/>
        <v>0</v>
      </c>
    </row>
    <row r="147" spans="1:8" s="140" customFormat="1">
      <c r="A147" s="1130" t="s">
        <v>931</v>
      </c>
      <c r="B147" s="1156" t="s">
        <v>937</v>
      </c>
      <c r="C147" s="1132">
        <f>+D147+E147+F147</f>
        <v>0</v>
      </c>
      <c r="D147" s="1133"/>
      <c r="E147" s="1134"/>
      <c r="F147" s="1135"/>
      <c r="H147" s="140">
        <f t="shared" si="11"/>
        <v>0</v>
      </c>
    </row>
    <row r="148" spans="1:8" s="140" customFormat="1" ht="12.75" thickBot="1">
      <c r="A148" s="1130" t="s">
        <v>932</v>
      </c>
      <c r="B148" s="1156" t="s">
        <v>938</v>
      </c>
      <c r="C148" s="1132">
        <f>+D148+E148+F148</f>
        <v>0</v>
      </c>
      <c r="D148" s="1133"/>
      <c r="E148" s="1134"/>
      <c r="F148" s="1135"/>
      <c r="H148" s="140">
        <f t="shared" si="11"/>
        <v>0</v>
      </c>
    </row>
    <row r="149" spans="1:8" s="143" customFormat="1" ht="12.75" thickBot="1">
      <c r="A149" s="1113" t="s">
        <v>14</v>
      </c>
      <c r="B149" s="1136" t="s">
        <v>311</v>
      </c>
      <c r="C149" s="130">
        <f>+C150+C159+C165</f>
        <v>0</v>
      </c>
      <c r="D149" s="131">
        <f>+D150+D159+D165</f>
        <v>0</v>
      </c>
      <c r="E149" s="132">
        <f>+E150+E159+E165</f>
        <v>0</v>
      </c>
      <c r="F149" s="133">
        <f>+F150+F159+F165</f>
        <v>0</v>
      </c>
      <c r="H149" s="143">
        <f t="shared" si="11"/>
        <v>0</v>
      </c>
    </row>
    <row r="150" spans="1:8" s="143" customFormat="1" ht="12.75" thickBot="1">
      <c r="A150" s="1113" t="s">
        <v>13</v>
      </c>
      <c r="B150" s="1121" t="s">
        <v>312</v>
      </c>
      <c r="C150" s="130">
        <f>+C152+C153+C154+C155+C156+C157+C158</f>
        <v>0</v>
      </c>
      <c r="D150" s="131">
        <f>+D152+D153+D154+D155+D156+D157+D158</f>
        <v>0</v>
      </c>
      <c r="E150" s="132">
        <f>+E152+E153+E154+E155+E156+E157+E158</f>
        <v>0</v>
      </c>
      <c r="F150" s="133">
        <f>+F152+F153+F154+F155+F156+F157+F158</f>
        <v>0</v>
      </c>
      <c r="H150" s="143">
        <f t="shared" si="11"/>
        <v>0</v>
      </c>
    </row>
    <row r="151" spans="1:8" s="1104" customFormat="1">
      <c r="A151" s="1150" t="s">
        <v>940</v>
      </c>
      <c r="B151" s="1151" t="s">
        <v>342</v>
      </c>
      <c r="C151" s="1152">
        <f t="shared" ref="C151:C158" si="12">+D151+E151+F151</f>
        <v>0</v>
      </c>
      <c r="D151" s="1153"/>
      <c r="E151" s="1154"/>
      <c r="F151" s="1155"/>
      <c r="H151" s="1104">
        <f t="shared" si="11"/>
        <v>0</v>
      </c>
    </row>
    <row r="152" spans="1:8">
      <c r="A152" s="1122" t="s">
        <v>66</v>
      </c>
      <c r="B152" s="135" t="s">
        <v>152</v>
      </c>
      <c r="C152" s="136">
        <f t="shared" si="12"/>
        <v>0</v>
      </c>
      <c r="D152" s="137"/>
      <c r="E152" s="138"/>
      <c r="F152" s="139"/>
      <c r="H152" s="141">
        <f t="shared" si="11"/>
        <v>0</v>
      </c>
    </row>
    <row r="153" spans="1:8">
      <c r="A153" s="1126" t="s">
        <v>67</v>
      </c>
      <c r="B153" s="1127" t="s">
        <v>153</v>
      </c>
      <c r="C153" s="129">
        <f t="shared" si="12"/>
        <v>0</v>
      </c>
      <c r="D153" s="1094"/>
      <c r="E153" s="1095"/>
      <c r="F153" s="1096"/>
      <c r="H153" s="141">
        <f t="shared" si="11"/>
        <v>0</v>
      </c>
    </row>
    <row r="154" spans="1:8">
      <c r="A154" s="1126" t="s">
        <v>68</v>
      </c>
      <c r="B154" s="1127" t="s">
        <v>154</v>
      </c>
      <c r="C154" s="129">
        <f t="shared" si="12"/>
        <v>0</v>
      </c>
      <c r="D154" s="1094"/>
      <c r="E154" s="1095"/>
      <c r="F154" s="1096"/>
      <c r="H154" s="141">
        <f t="shared" si="11"/>
        <v>0</v>
      </c>
    </row>
    <row r="155" spans="1:8">
      <c r="A155" s="1126" t="s">
        <v>230</v>
      </c>
      <c r="B155" s="1127" t="s">
        <v>155</v>
      </c>
      <c r="C155" s="129">
        <f t="shared" si="12"/>
        <v>0</v>
      </c>
      <c r="D155" s="1094"/>
      <c r="E155" s="1095"/>
      <c r="F155" s="1096"/>
      <c r="H155" s="141">
        <f t="shared" si="11"/>
        <v>0</v>
      </c>
    </row>
    <row r="156" spans="1:8">
      <c r="A156" s="1126" t="s">
        <v>231</v>
      </c>
      <c r="B156" s="1127" t="s">
        <v>156</v>
      </c>
      <c r="C156" s="129">
        <f t="shared" si="12"/>
        <v>0</v>
      </c>
      <c r="D156" s="1094"/>
      <c r="E156" s="1095"/>
      <c r="F156" s="1096"/>
      <c r="H156" s="141">
        <f t="shared" si="11"/>
        <v>0</v>
      </c>
    </row>
    <row r="157" spans="1:8">
      <c r="A157" s="1126" t="s">
        <v>269</v>
      </c>
      <c r="B157" s="1127" t="s">
        <v>157</v>
      </c>
      <c r="C157" s="129">
        <f t="shared" si="12"/>
        <v>0</v>
      </c>
      <c r="D157" s="1094"/>
      <c r="E157" s="1095"/>
      <c r="F157" s="1096"/>
      <c r="H157" s="141">
        <f t="shared" si="11"/>
        <v>0</v>
      </c>
    </row>
    <row r="158" spans="1:8" ht="12.75" thickBot="1">
      <c r="A158" s="1128" t="s">
        <v>270</v>
      </c>
      <c r="B158" s="1129" t="s">
        <v>158</v>
      </c>
      <c r="C158" s="142">
        <f t="shared" si="12"/>
        <v>0</v>
      </c>
      <c r="D158" s="1097"/>
      <c r="E158" s="1098"/>
      <c r="F158" s="1099"/>
      <c r="H158" s="141">
        <f t="shared" si="11"/>
        <v>0</v>
      </c>
    </row>
    <row r="159" spans="1:8" s="143" customFormat="1" ht="12.75" thickBot="1">
      <c r="A159" s="1113" t="s">
        <v>12</v>
      </c>
      <c r="B159" s="1121" t="s">
        <v>313</v>
      </c>
      <c r="C159" s="130">
        <f>+C161+C162+C163+C164</f>
        <v>0</v>
      </c>
      <c r="D159" s="131">
        <f>+D161+D162+D163+D164</f>
        <v>0</v>
      </c>
      <c r="E159" s="132">
        <f>+E161+E162+E163+E164</f>
        <v>0</v>
      </c>
      <c r="F159" s="133">
        <f>+F161+F162+F163+F164</f>
        <v>0</v>
      </c>
      <c r="H159" s="143">
        <f t="shared" si="11"/>
        <v>0</v>
      </c>
    </row>
    <row r="160" spans="1:8" s="1104" customFormat="1">
      <c r="A160" s="1150" t="s">
        <v>344</v>
      </c>
      <c r="B160" s="1151" t="s">
        <v>345</v>
      </c>
      <c r="C160" s="1152">
        <f>+D160+E160+F160</f>
        <v>0</v>
      </c>
      <c r="D160" s="1153"/>
      <c r="E160" s="1154"/>
      <c r="F160" s="1155"/>
      <c r="H160" s="1104">
        <f t="shared" si="11"/>
        <v>0</v>
      </c>
    </row>
    <row r="161" spans="1:8">
      <c r="A161" s="1122" t="s">
        <v>69</v>
      </c>
      <c r="B161" s="135" t="s">
        <v>159</v>
      </c>
      <c r="C161" s="136">
        <f>+D161+E161+F161</f>
        <v>0</v>
      </c>
      <c r="D161" s="137"/>
      <c r="E161" s="138"/>
      <c r="F161" s="139"/>
      <c r="H161" s="141">
        <f t="shared" si="11"/>
        <v>0</v>
      </c>
    </row>
    <row r="162" spans="1:8">
      <c r="A162" s="1126" t="s">
        <v>70</v>
      </c>
      <c r="B162" s="1127" t="s">
        <v>160</v>
      </c>
      <c r="C162" s="129">
        <f>+D162+E162+F162</f>
        <v>0</v>
      </c>
      <c r="D162" s="1094"/>
      <c r="E162" s="1095"/>
      <c r="F162" s="1096"/>
      <c r="H162" s="141">
        <f t="shared" si="11"/>
        <v>0</v>
      </c>
    </row>
    <row r="163" spans="1:8">
      <c r="A163" s="1126" t="s">
        <v>71</v>
      </c>
      <c r="B163" s="1127" t="s">
        <v>161</v>
      </c>
      <c r="C163" s="129">
        <f>+D163+E163+F163</f>
        <v>0</v>
      </c>
      <c r="D163" s="1094"/>
      <c r="E163" s="1095"/>
      <c r="F163" s="1096"/>
      <c r="H163" s="141">
        <f t="shared" si="11"/>
        <v>0</v>
      </c>
    </row>
    <row r="164" spans="1:8" ht="12.75" thickBot="1">
      <c r="A164" s="1128" t="s">
        <v>72</v>
      </c>
      <c r="B164" s="1129" t="s">
        <v>162</v>
      </c>
      <c r="C164" s="142">
        <f>+D164+E164+F164</f>
        <v>0</v>
      </c>
      <c r="D164" s="1097"/>
      <c r="E164" s="1098"/>
      <c r="F164" s="1099"/>
      <c r="H164" s="141">
        <f t="shared" si="11"/>
        <v>0</v>
      </c>
    </row>
    <row r="165" spans="1:8" s="143" customFormat="1" ht="12.75" thickBot="1">
      <c r="A165" s="1113" t="s">
        <v>11</v>
      </c>
      <c r="B165" s="1121" t="s">
        <v>942</v>
      </c>
      <c r="C165" s="130">
        <f>+C166+C167+C168+C169+C171+C172+C173+C174+C175</f>
        <v>0</v>
      </c>
      <c r="D165" s="131">
        <f>+D166+D167+D168+D169+D171+D172+D173+D174+D175</f>
        <v>0</v>
      </c>
      <c r="E165" s="132">
        <f>+E166+E167+E168+E169+E171+E172+E173+E174+E175</f>
        <v>0</v>
      </c>
      <c r="F165" s="133">
        <f>+F166+F167+F168+F169+F171+F172+F173+F174+F175</f>
        <v>0</v>
      </c>
      <c r="H165" s="143">
        <f t="shared" si="11"/>
        <v>0</v>
      </c>
    </row>
    <row r="166" spans="1:8">
      <c r="A166" s="1122" t="s">
        <v>271</v>
      </c>
      <c r="B166" s="135" t="s">
        <v>163</v>
      </c>
      <c r="C166" s="136">
        <f t="shared" ref="C166:C175" si="13">+D166+E166+F166</f>
        <v>0</v>
      </c>
      <c r="D166" s="137"/>
      <c r="E166" s="138"/>
      <c r="F166" s="139"/>
      <c r="H166" s="141">
        <f t="shared" si="11"/>
        <v>0</v>
      </c>
    </row>
    <row r="167" spans="1:8">
      <c r="A167" s="1126" t="s">
        <v>272</v>
      </c>
      <c r="B167" s="1127" t="s">
        <v>164</v>
      </c>
      <c r="C167" s="129">
        <f t="shared" si="13"/>
        <v>0</v>
      </c>
      <c r="D167" s="1094"/>
      <c r="E167" s="1095"/>
      <c r="F167" s="1096"/>
      <c r="H167" s="141">
        <f t="shared" si="11"/>
        <v>0</v>
      </c>
    </row>
    <row r="168" spans="1:8">
      <c r="A168" s="1126" t="s">
        <v>273</v>
      </c>
      <c r="B168" s="1127" t="s">
        <v>165</v>
      </c>
      <c r="C168" s="129">
        <f t="shared" si="13"/>
        <v>0</v>
      </c>
      <c r="D168" s="1094"/>
      <c r="E168" s="1095"/>
      <c r="F168" s="1096"/>
      <c r="H168" s="141">
        <f t="shared" si="11"/>
        <v>0</v>
      </c>
    </row>
    <row r="169" spans="1:8">
      <c r="A169" s="1126" t="s">
        <v>274</v>
      </c>
      <c r="B169" s="1127" t="s">
        <v>166</v>
      </c>
      <c r="C169" s="129">
        <f t="shared" si="13"/>
        <v>0</v>
      </c>
      <c r="D169" s="1094"/>
      <c r="E169" s="1095"/>
      <c r="F169" s="1096"/>
      <c r="H169" s="141">
        <f t="shared" si="11"/>
        <v>0</v>
      </c>
    </row>
    <row r="170" spans="1:8" s="140" customFormat="1">
      <c r="A170" s="1130" t="s">
        <v>339</v>
      </c>
      <c r="B170" s="1131" t="s">
        <v>340</v>
      </c>
      <c r="C170" s="1132">
        <f t="shared" si="13"/>
        <v>0</v>
      </c>
      <c r="D170" s="1133"/>
      <c r="E170" s="1134"/>
      <c r="F170" s="1135"/>
      <c r="H170" s="140">
        <f t="shared" si="11"/>
        <v>0</v>
      </c>
    </row>
    <row r="171" spans="1:8">
      <c r="A171" s="1126" t="s">
        <v>275</v>
      </c>
      <c r="B171" s="1127" t="s">
        <v>167</v>
      </c>
      <c r="C171" s="129">
        <f t="shared" si="13"/>
        <v>0</v>
      </c>
      <c r="D171" s="1094"/>
      <c r="E171" s="1095"/>
      <c r="F171" s="1096"/>
      <c r="H171" s="141">
        <f t="shared" si="11"/>
        <v>0</v>
      </c>
    </row>
    <row r="172" spans="1:8">
      <c r="A172" s="1126" t="s">
        <v>276</v>
      </c>
      <c r="B172" s="1127" t="s">
        <v>168</v>
      </c>
      <c r="C172" s="129">
        <f t="shared" si="13"/>
        <v>0</v>
      </c>
      <c r="D172" s="1094"/>
      <c r="E172" s="1095"/>
      <c r="F172" s="1096"/>
      <c r="H172" s="141">
        <f t="shared" si="11"/>
        <v>0</v>
      </c>
    </row>
    <row r="173" spans="1:8">
      <c r="A173" s="1126" t="s">
        <v>277</v>
      </c>
      <c r="B173" s="1127" t="s">
        <v>169</v>
      </c>
      <c r="C173" s="129">
        <f t="shared" si="13"/>
        <v>0</v>
      </c>
      <c r="D173" s="1094"/>
      <c r="E173" s="1095"/>
      <c r="F173" s="1096"/>
      <c r="H173" s="141">
        <f t="shared" si="11"/>
        <v>0</v>
      </c>
    </row>
    <row r="174" spans="1:8">
      <c r="A174" s="1126" t="s">
        <v>278</v>
      </c>
      <c r="B174" s="1127" t="s">
        <v>943</v>
      </c>
      <c r="C174" s="129">
        <f>+D174+E174+F174</f>
        <v>0</v>
      </c>
      <c r="D174" s="1094"/>
      <c r="E174" s="1095"/>
      <c r="F174" s="1096"/>
      <c r="H174" s="141">
        <f t="shared" si="11"/>
        <v>0</v>
      </c>
    </row>
    <row r="175" spans="1:8" ht="12.75" thickBot="1">
      <c r="A175" s="1128" t="s">
        <v>941</v>
      </c>
      <c r="B175" s="1129" t="s">
        <v>944</v>
      </c>
      <c r="C175" s="142">
        <f t="shared" si="13"/>
        <v>0</v>
      </c>
      <c r="D175" s="1097"/>
      <c r="E175" s="1098"/>
      <c r="F175" s="1099"/>
      <c r="H175" s="141">
        <f t="shared" si="11"/>
        <v>0</v>
      </c>
    </row>
    <row r="176" spans="1:8" s="143" customFormat="1" ht="12.75" thickBot="1">
      <c r="A176" s="1113" t="s">
        <v>10</v>
      </c>
      <c r="B176" s="1136" t="s">
        <v>314</v>
      </c>
      <c r="C176" s="130">
        <f>+C109+C149</f>
        <v>73861</v>
      </c>
      <c r="D176" s="131">
        <f>+D109+D149</f>
        <v>73861</v>
      </c>
      <c r="E176" s="132">
        <f>+E109+E149</f>
        <v>0</v>
      </c>
      <c r="F176" s="133">
        <f>+F109+F149</f>
        <v>0</v>
      </c>
      <c r="H176" s="143">
        <f t="shared" si="11"/>
        <v>0</v>
      </c>
    </row>
    <row r="177" spans="1:8" s="143" customFormat="1" ht="12.75" thickBot="1">
      <c r="A177" s="1113" t="s">
        <v>9</v>
      </c>
      <c r="B177" s="1137" t="s">
        <v>315</v>
      </c>
      <c r="C177" s="130">
        <f>+C178</f>
        <v>0</v>
      </c>
      <c r="D177" s="131">
        <f>+D178</f>
        <v>0</v>
      </c>
      <c r="E177" s="132">
        <f>+E178</f>
        <v>0</v>
      </c>
      <c r="F177" s="133">
        <f>+F178</f>
        <v>0</v>
      </c>
      <c r="H177" s="143">
        <f t="shared" si="11"/>
        <v>0</v>
      </c>
    </row>
    <row r="178" spans="1:8" s="143" customFormat="1" ht="12.75" thickBot="1">
      <c r="A178" s="1113" t="s">
        <v>45</v>
      </c>
      <c r="B178" s="1121" t="s">
        <v>951</v>
      </c>
      <c r="C178" s="130">
        <f>+C179+C189+C190+C191</f>
        <v>0</v>
      </c>
      <c r="D178" s="131">
        <f>+D179+D189+D190+D191</f>
        <v>0</v>
      </c>
      <c r="E178" s="132">
        <f>+E179+E189+E190+E191</f>
        <v>0</v>
      </c>
      <c r="F178" s="133">
        <f>+F179+F189+F190+F191</f>
        <v>0</v>
      </c>
      <c r="H178" s="143">
        <f t="shared" si="11"/>
        <v>0</v>
      </c>
    </row>
    <row r="179" spans="1:8">
      <c r="A179" s="1122" t="s">
        <v>75</v>
      </c>
      <c r="B179" s="135" t="s">
        <v>952</v>
      </c>
      <c r="C179" s="136">
        <f>+C180+C181+C182+C183+C184+C185+C186+C187+C188</f>
        <v>0</v>
      </c>
      <c r="D179" s="137">
        <f>+D180+D181+D182+D183+D184+D185+D186+D187+D188</f>
        <v>0</v>
      </c>
      <c r="E179" s="138">
        <f>+E180+E181+E182+E183+E184+E185+E186+E187+E188</f>
        <v>0</v>
      </c>
      <c r="F179" s="139">
        <f>+F180+F181+F182+F183+F184+F185+F186+F187+F188</f>
        <v>0</v>
      </c>
      <c r="H179" s="141">
        <f t="shared" si="11"/>
        <v>0</v>
      </c>
    </row>
    <row r="180" spans="1:8" s="140" customFormat="1">
      <c r="A180" s="127" t="s">
        <v>205</v>
      </c>
      <c r="B180" s="128" t="s">
        <v>170</v>
      </c>
      <c r="C180" s="134">
        <f t="shared" ref="C180:C190" si="14">+D180+E180+F180</f>
        <v>0</v>
      </c>
      <c r="D180" s="769"/>
      <c r="E180" s="770"/>
      <c r="F180" s="771"/>
      <c r="H180" s="140">
        <f t="shared" si="11"/>
        <v>0</v>
      </c>
    </row>
    <row r="181" spans="1:8" s="140" customFormat="1">
      <c r="A181" s="127" t="s">
        <v>206</v>
      </c>
      <c r="B181" s="128" t="s">
        <v>171</v>
      </c>
      <c r="C181" s="134">
        <f t="shared" si="14"/>
        <v>0</v>
      </c>
      <c r="D181" s="769"/>
      <c r="E181" s="770"/>
      <c r="F181" s="771"/>
      <c r="H181" s="140">
        <f t="shared" si="11"/>
        <v>0</v>
      </c>
    </row>
    <row r="182" spans="1:8" s="140" customFormat="1">
      <c r="A182" s="127" t="s">
        <v>207</v>
      </c>
      <c r="B182" s="128" t="s">
        <v>172</v>
      </c>
      <c r="C182" s="134">
        <f t="shared" si="14"/>
        <v>0</v>
      </c>
      <c r="D182" s="769"/>
      <c r="E182" s="770"/>
      <c r="F182" s="771"/>
      <c r="H182" s="140">
        <f t="shared" si="11"/>
        <v>0</v>
      </c>
    </row>
    <row r="183" spans="1:8" s="140" customFormat="1">
      <c r="A183" s="127" t="s">
        <v>208</v>
      </c>
      <c r="B183" s="128" t="s">
        <v>173</v>
      </c>
      <c r="C183" s="134">
        <f t="shared" si="14"/>
        <v>0</v>
      </c>
      <c r="D183" s="769"/>
      <c r="E183" s="770"/>
      <c r="F183" s="771"/>
      <c r="H183" s="140">
        <f t="shared" si="11"/>
        <v>0</v>
      </c>
    </row>
    <row r="184" spans="1:8" s="140" customFormat="1">
      <c r="A184" s="127" t="s">
        <v>209</v>
      </c>
      <c r="B184" s="128" t="s">
        <v>174</v>
      </c>
      <c r="C184" s="134">
        <f t="shared" si="14"/>
        <v>0</v>
      </c>
      <c r="D184" s="769"/>
      <c r="E184" s="770"/>
      <c r="F184" s="771"/>
      <c r="H184" s="140">
        <f t="shared" si="11"/>
        <v>0</v>
      </c>
    </row>
    <row r="185" spans="1:8" s="140" customFormat="1">
      <c r="A185" s="127" t="s">
        <v>210</v>
      </c>
      <c r="B185" s="128" t="s">
        <v>179</v>
      </c>
      <c r="C185" s="134">
        <f t="shared" si="14"/>
        <v>0</v>
      </c>
      <c r="D185" s="769"/>
      <c r="E185" s="770"/>
      <c r="F185" s="771"/>
      <c r="H185" s="140">
        <f t="shared" si="11"/>
        <v>0</v>
      </c>
    </row>
    <row r="186" spans="1:8" s="140" customFormat="1">
      <c r="A186" s="127" t="s">
        <v>211</v>
      </c>
      <c r="B186" s="128" t="s">
        <v>175</v>
      </c>
      <c r="C186" s="134">
        <f t="shared" si="14"/>
        <v>0</v>
      </c>
      <c r="D186" s="769"/>
      <c r="E186" s="770"/>
      <c r="F186" s="771"/>
      <c r="H186" s="140">
        <f t="shared" si="11"/>
        <v>0</v>
      </c>
    </row>
    <row r="187" spans="1:8" s="140" customFormat="1">
      <c r="A187" s="127" t="s">
        <v>212</v>
      </c>
      <c r="B187" s="128" t="s">
        <v>176</v>
      </c>
      <c r="C187" s="134">
        <f t="shared" si="14"/>
        <v>0</v>
      </c>
      <c r="D187" s="769"/>
      <c r="E187" s="770"/>
      <c r="F187" s="771"/>
      <c r="H187" s="140">
        <f t="shared" si="11"/>
        <v>0</v>
      </c>
    </row>
    <row r="188" spans="1:8" s="140" customFormat="1">
      <c r="A188" s="127" t="s">
        <v>945</v>
      </c>
      <c r="B188" s="128" t="s">
        <v>947</v>
      </c>
      <c r="C188" s="134">
        <f>+D188+E188+F188</f>
        <v>0</v>
      </c>
      <c r="D188" s="769"/>
      <c r="E188" s="770"/>
      <c r="F188" s="771"/>
      <c r="H188" s="140">
        <f t="shared" si="11"/>
        <v>0</v>
      </c>
    </row>
    <row r="189" spans="1:8">
      <c r="A189" s="1126" t="s">
        <v>76</v>
      </c>
      <c r="B189" s="1127" t="s">
        <v>177</v>
      </c>
      <c r="C189" s="129">
        <f t="shared" si="14"/>
        <v>0</v>
      </c>
      <c r="D189" s="1094"/>
      <c r="E189" s="1095"/>
      <c r="F189" s="1096"/>
      <c r="H189" s="141">
        <f t="shared" si="11"/>
        <v>0</v>
      </c>
    </row>
    <row r="190" spans="1:8">
      <c r="A190" s="1128" t="s">
        <v>77</v>
      </c>
      <c r="B190" s="1129" t="s">
        <v>178</v>
      </c>
      <c r="C190" s="142">
        <f t="shared" si="14"/>
        <v>0</v>
      </c>
      <c r="D190" s="1097"/>
      <c r="E190" s="1098"/>
      <c r="F190" s="1099"/>
      <c r="H190" s="141">
        <f t="shared" si="11"/>
        <v>0</v>
      </c>
    </row>
    <row r="191" spans="1:8" ht="12.75" thickBot="1">
      <c r="A191" s="1128" t="s">
        <v>950</v>
      </c>
      <c r="B191" s="1129" t="s">
        <v>948</v>
      </c>
      <c r="C191" s="142">
        <f>+D191+E191+F191</f>
        <v>0</v>
      </c>
      <c r="D191" s="1097"/>
      <c r="E191" s="1098"/>
      <c r="F191" s="1099"/>
      <c r="H191" s="141">
        <f t="shared" si="11"/>
        <v>0</v>
      </c>
    </row>
    <row r="192" spans="1:8" s="143" customFormat="1" ht="12.75" thickBot="1">
      <c r="A192" s="1113" t="s">
        <v>44</v>
      </c>
      <c r="B192" s="1136" t="s">
        <v>316</v>
      </c>
      <c r="C192" s="130">
        <f>+C193</f>
        <v>0</v>
      </c>
      <c r="D192" s="131">
        <f>+D193</f>
        <v>0</v>
      </c>
      <c r="E192" s="132">
        <f>+E193</f>
        <v>0</v>
      </c>
      <c r="F192" s="133">
        <f>+F193</f>
        <v>0</v>
      </c>
      <c r="H192" s="143">
        <f t="shared" si="11"/>
        <v>0</v>
      </c>
    </row>
    <row r="193" spans="1:8" s="143" customFormat="1" ht="12.75" thickBot="1">
      <c r="A193" s="1113" t="s">
        <v>43</v>
      </c>
      <c r="B193" s="1121" t="s">
        <v>946</v>
      </c>
      <c r="C193" s="130">
        <f>+C194+C204+C205+C206</f>
        <v>0</v>
      </c>
      <c r="D193" s="131">
        <f>+D194+D204+D205+D206</f>
        <v>0</v>
      </c>
      <c r="E193" s="132">
        <f>+E194+E204+E205+E206</f>
        <v>0</v>
      </c>
      <c r="F193" s="133">
        <f>+F194+F204+F205+F206</f>
        <v>0</v>
      </c>
      <c r="H193" s="143">
        <f t="shared" si="11"/>
        <v>0</v>
      </c>
    </row>
    <row r="194" spans="1:8">
      <c r="A194" s="1122" t="s">
        <v>78</v>
      </c>
      <c r="B194" s="135" t="s">
        <v>984</v>
      </c>
      <c r="C194" s="136">
        <f>+C195+C196+C197+C198+C199+C200+C201+C202+C203</f>
        <v>0</v>
      </c>
      <c r="D194" s="137">
        <f>+D195+D196+D197+D198+D199+D200+D201+D202+D203</f>
        <v>0</v>
      </c>
      <c r="E194" s="138">
        <f>+E195+E196+E197+E198+E199+E200+E201+E202+E203</f>
        <v>0</v>
      </c>
      <c r="F194" s="139">
        <f>+F195+F196+F197+F198+F199+F200+F201+F202+F203</f>
        <v>0</v>
      </c>
      <c r="H194" s="141">
        <f t="shared" si="11"/>
        <v>0</v>
      </c>
    </row>
    <row r="195" spans="1:8" s="140" customFormat="1">
      <c r="A195" s="127" t="s">
        <v>213</v>
      </c>
      <c r="B195" s="128" t="s">
        <v>170</v>
      </c>
      <c r="C195" s="134">
        <f t="shared" ref="C195:C205" si="15">+D195+E195+F195</f>
        <v>0</v>
      </c>
      <c r="D195" s="769"/>
      <c r="E195" s="770"/>
      <c r="F195" s="771"/>
      <c r="H195" s="140">
        <f t="shared" si="11"/>
        <v>0</v>
      </c>
    </row>
    <row r="196" spans="1:8" s="140" customFormat="1">
      <c r="A196" s="127" t="s">
        <v>214</v>
      </c>
      <c r="B196" s="128" t="s">
        <v>171</v>
      </c>
      <c r="C196" s="134">
        <f t="shared" si="15"/>
        <v>0</v>
      </c>
      <c r="D196" s="769"/>
      <c r="E196" s="770"/>
      <c r="F196" s="771"/>
      <c r="H196" s="140">
        <f t="shared" si="11"/>
        <v>0</v>
      </c>
    </row>
    <row r="197" spans="1:8" s="140" customFormat="1">
      <c r="A197" s="127" t="s">
        <v>215</v>
      </c>
      <c r="B197" s="128" t="s">
        <v>172</v>
      </c>
      <c r="C197" s="134">
        <f t="shared" si="15"/>
        <v>0</v>
      </c>
      <c r="D197" s="769"/>
      <c r="E197" s="770"/>
      <c r="F197" s="771"/>
      <c r="H197" s="140">
        <f t="shared" si="11"/>
        <v>0</v>
      </c>
    </row>
    <row r="198" spans="1:8" s="140" customFormat="1">
      <c r="A198" s="127" t="s">
        <v>216</v>
      </c>
      <c r="B198" s="128" t="s">
        <v>173</v>
      </c>
      <c r="C198" s="134">
        <f t="shared" si="15"/>
        <v>0</v>
      </c>
      <c r="D198" s="769"/>
      <c r="E198" s="770"/>
      <c r="F198" s="771"/>
      <c r="H198" s="140">
        <f t="shared" si="11"/>
        <v>0</v>
      </c>
    </row>
    <row r="199" spans="1:8" s="140" customFormat="1">
      <c r="A199" s="127" t="s">
        <v>217</v>
      </c>
      <c r="B199" s="128" t="s">
        <v>174</v>
      </c>
      <c r="C199" s="134">
        <f t="shared" si="15"/>
        <v>0</v>
      </c>
      <c r="D199" s="769"/>
      <c r="E199" s="770"/>
      <c r="F199" s="771"/>
      <c r="H199" s="140">
        <f t="shared" si="11"/>
        <v>0</v>
      </c>
    </row>
    <row r="200" spans="1:8" s="140" customFormat="1">
      <c r="A200" s="127" t="s">
        <v>218</v>
      </c>
      <c r="B200" s="128" t="s">
        <v>179</v>
      </c>
      <c r="C200" s="134">
        <f t="shared" si="15"/>
        <v>0</v>
      </c>
      <c r="D200" s="769"/>
      <c r="E200" s="770"/>
      <c r="F200" s="771"/>
      <c r="H200" s="140">
        <f t="shared" si="11"/>
        <v>0</v>
      </c>
    </row>
    <row r="201" spans="1:8" s="140" customFormat="1">
      <c r="A201" s="127" t="s">
        <v>219</v>
      </c>
      <c r="B201" s="128" t="s">
        <v>175</v>
      </c>
      <c r="C201" s="134">
        <f t="shared" si="15"/>
        <v>0</v>
      </c>
      <c r="D201" s="769"/>
      <c r="E201" s="770"/>
      <c r="F201" s="771"/>
      <c r="H201" s="140">
        <f t="shared" si="11"/>
        <v>0</v>
      </c>
    </row>
    <row r="202" spans="1:8" s="140" customFormat="1">
      <c r="A202" s="127" t="s">
        <v>220</v>
      </c>
      <c r="B202" s="128" t="s">
        <v>176</v>
      </c>
      <c r="C202" s="134">
        <f t="shared" si="15"/>
        <v>0</v>
      </c>
      <c r="D202" s="769"/>
      <c r="E202" s="770"/>
      <c r="F202" s="771"/>
      <c r="H202" s="140">
        <f t="shared" si="11"/>
        <v>0</v>
      </c>
    </row>
    <row r="203" spans="1:8" s="140" customFormat="1">
      <c r="A203" s="127" t="s">
        <v>945</v>
      </c>
      <c r="B203" s="128" t="s">
        <v>947</v>
      </c>
      <c r="C203" s="134">
        <f>+D203+E203+F203</f>
        <v>0</v>
      </c>
      <c r="D203" s="769"/>
      <c r="E203" s="770"/>
      <c r="F203" s="771"/>
      <c r="H203" s="140">
        <f t="shared" ref="H203:H242" si="16">+C203-D203-E203-F203</f>
        <v>0</v>
      </c>
    </row>
    <row r="204" spans="1:8">
      <c r="A204" s="1126" t="s">
        <v>79</v>
      </c>
      <c r="B204" s="1127" t="s">
        <v>177</v>
      </c>
      <c r="C204" s="129">
        <f t="shared" si="15"/>
        <v>0</v>
      </c>
      <c r="D204" s="1094"/>
      <c r="E204" s="1095"/>
      <c r="F204" s="1096"/>
      <c r="H204" s="141">
        <f t="shared" si="16"/>
        <v>0</v>
      </c>
    </row>
    <row r="205" spans="1:8">
      <c r="A205" s="1128" t="s">
        <v>221</v>
      </c>
      <c r="B205" s="1129" t="s">
        <v>178</v>
      </c>
      <c r="C205" s="142">
        <f t="shared" si="15"/>
        <v>0</v>
      </c>
      <c r="D205" s="1097"/>
      <c r="E205" s="1098"/>
      <c r="F205" s="1099"/>
      <c r="H205" s="141">
        <f t="shared" si="16"/>
        <v>0</v>
      </c>
    </row>
    <row r="206" spans="1:8" ht="12.75" thickBot="1">
      <c r="A206" s="1128" t="s">
        <v>949</v>
      </c>
      <c r="B206" s="1129" t="s">
        <v>948</v>
      </c>
      <c r="C206" s="142">
        <f>+D206+E206+F206</f>
        <v>0</v>
      </c>
      <c r="D206" s="1097"/>
      <c r="E206" s="1098"/>
      <c r="F206" s="1099"/>
      <c r="H206" s="141">
        <f t="shared" si="16"/>
        <v>0</v>
      </c>
    </row>
    <row r="207" spans="1:8" s="143" customFormat="1" ht="12.75" thickBot="1">
      <c r="A207" s="1113" t="s">
        <v>40</v>
      </c>
      <c r="B207" s="1136" t="s">
        <v>317</v>
      </c>
      <c r="C207" s="130">
        <f>+C177+C192</f>
        <v>0</v>
      </c>
      <c r="D207" s="131">
        <f>+D177+D192</f>
        <v>0</v>
      </c>
      <c r="E207" s="132">
        <f>+E177+E192</f>
        <v>0</v>
      </c>
      <c r="F207" s="133">
        <f>+F177+F192</f>
        <v>0</v>
      </c>
      <c r="H207" s="143">
        <f t="shared" si="16"/>
        <v>0</v>
      </c>
    </row>
    <row r="208" spans="1:8" s="143" customFormat="1" ht="12.75" thickBot="1">
      <c r="A208" s="1138" t="s">
        <v>39</v>
      </c>
      <c r="B208" s="1139" t="s">
        <v>335</v>
      </c>
      <c r="C208" s="1140">
        <f>+C176+C207</f>
        <v>73861</v>
      </c>
      <c r="D208" s="1141">
        <f>+D176+D207</f>
        <v>73861</v>
      </c>
      <c r="E208" s="1142">
        <f>+E176+E207</f>
        <v>0</v>
      </c>
      <c r="F208" s="1143">
        <f>+F176+F207</f>
        <v>0</v>
      </c>
      <c r="H208" s="143">
        <f t="shared" si="16"/>
        <v>0</v>
      </c>
    </row>
    <row r="211" spans="1:30" s="1" customFormat="1" ht="15.75">
      <c r="A211" s="1434" t="s">
        <v>89</v>
      </c>
      <c r="B211" s="1434"/>
      <c r="C211" s="1434"/>
      <c r="D211" s="1434"/>
      <c r="E211" s="1434"/>
      <c r="F211" s="14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1104" customFormat="1" ht="12.75" thickBot="1">
      <c r="A212" s="1103" t="s">
        <v>282</v>
      </c>
      <c r="F212" s="1105" t="s">
        <v>281</v>
      </c>
    </row>
    <row r="213" spans="1:30" s="143" customFormat="1" ht="12.75" thickBot="1">
      <c r="A213" s="1113" t="s">
        <v>4</v>
      </c>
      <c r="B213" s="1136" t="s">
        <v>318</v>
      </c>
      <c r="C213" s="130">
        <f>+C214+C215</f>
        <v>-73861</v>
      </c>
      <c r="D213" s="131">
        <f>+D214+D215</f>
        <v>-73861</v>
      </c>
      <c r="E213" s="132">
        <f>+E214+E215</f>
        <v>0</v>
      </c>
      <c r="F213" s="133">
        <f>+F214+F215</f>
        <v>0</v>
      </c>
      <c r="H213" s="143">
        <f t="shared" si="16"/>
        <v>0</v>
      </c>
    </row>
    <row r="214" spans="1:30">
      <c r="A214" s="1122" t="s">
        <v>81</v>
      </c>
      <c r="B214" s="1165" t="s">
        <v>319</v>
      </c>
      <c r="C214" s="136">
        <f>+C10-C109</f>
        <v>-73861</v>
      </c>
      <c r="D214" s="137">
        <f>+D10-D109</f>
        <v>-73861</v>
      </c>
      <c r="E214" s="138">
        <f>+E10-E109</f>
        <v>0</v>
      </c>
      <c r="F214" s="139">
        <f>+F10-F109</f>
        <v>0</v>
      </c>
      <c r="H214" s="141">
        <f t="shared" si="16"/>
        <v>0</v>
      </c>
    </row>
    <row r="215" spans="1:30" ht="12.75" thickBot="1">
      <c r="A215" s="1166" t="s">
        <v>82</v>
      </c>
      <c r="B215" s="1167" t="s">
        <v>320</v>
      </c>
      <c r="C215" s="1168">
        <f>+C50-C149</f>
        <v>0</v>
      </c>
      <c r="D215" s="1169">
        <f>+D50-D149</f>
        <v>0</v>
      </c>
      <c r="E215" s="1163">
        <f>+E50-E149</f>
        <v>0</v>
      </c>
      <c r="F215" s="1164">
        <f>+F50-F149</f>
        <v>0</v>
      </c>
      <c r="H215" s="141">
        <f t="shared" si="16"/>
        <v>0</v>
      </c>
    </row>
    <row r="218" spans="1:30" s="1" customFormat="1" ht="15.75">
      <c r="A218" s="1434" t="s">
        <v>90</v>
      </c>
      <c r="B218" s="1434"/>
      <c r="C218" s="1434"/>
      <c r="D218" s="1434"/>
      <c r="E218" s="1434"/>
      <c r="F218" s="14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1104" customFormat="1" ht="12.75" thickBot="1">
      <c r="A219" s="1103" t="s">
        <v>283</v>
      </c>
      <c r="F219" s="1105" t="s">
        <v>281</v>
      </c>
    </row>
    <row r="220" spans="1:30" s="143" customFormat="1" ht="12.75" thickBot="1">
      <c r="A220" s="1113" t="s">
        <v>4</v>
      </c>
      <c r="B220" s="1136" t="s">
        <v>321</v>
      </c>
      <c r="C220" s="130">
        <f>+C221+C228</f>
        <v>73861</v>
      </c>
      <c r="D220" s="131">
        <f>+D221+D228</f>
        <v>73861</v>
      </c>
      <c r="E220" s="132">
        <f>+E221+E228</f>
        <v>0</v>
      </c>
      <c r="F220" s="133">
        <f>+F221+F228</f>
        <v>0</v>
      </c>
      <c r="H220" s="143">
        <f t="shared" si="16"/>
        <v>0</v>
      </c>
    </row>
    <row r="221" spans="1:30" s="143" customFormat="1" ht="12.75" thickBot="1">
      <c r="A221" s="1113" t="s">
        <v>5</v>
      </c>
      <c r="B221" s="1121" t="s">
        <v>322</v>
      </c>
      <c r="C221" s="130">
        <f>+C222-C225</f>
        <v>73861</v>
      </c>
      <c r="D221" s="131">
        <f>+D222-D225</f>
        <v>73861</v>
      </c>
      <c r="E221" s="132">
        <f>+E222-E225</f>
        <v>0</v>
      </c>
      <c r="F221" s="133">
        <f>+F222-F225</f>
        <v>0</v>
      </c>
      <c r="H221" s="143">
        <f t="shared" si="16"/>
        <v>0</v>
      </c>
    </row>
    <row r="222" spans="1:30">
      <c r="A222" s="1122" t="s">
        <v>54</v>
      </c>
      <c r="B222" s="135" t="s">
        <v>323</v>
      </c>
      <c r="C222" s="136">
        <f>+C223+C224</f>
        <v>73861</v>
      </c>
      <c r="D222" s="137">
        <f>+D223+D224</f>
        <v>73861</v>
      </c>
      <c r="E222" s="138">
        <f>+E223+E224</f>
        <v>0</v>
      </c>
      <c r="F222" s="139">
        <f>+F223+F224</f>
        <v>0</v>
      </c>
      <c r="H222" s="141">
        <f t="shared" si="16"/>
        <v>0</v>
      </c>
    </row>
    <row r="223" spans="1:30" s="140" customFormat="1">
      <c r="A223" s="127" t="s">
        <v>190</v>
      </c>
      <c r="B223" s="128" t="s">
        <v>285</v>
      </c>
      <c r="C223" s="134">
        <f>+C76+C80</f>
        <v>0</v>
      </c>
      <c r="D223" s="769">
        <f>+D76+D80</f>
        <v>0</v>
      </c>
      <c r="E223" s="770">
        <f>+E76+E80</f>
        <v>0</v>
      </c>
      <c r="F223" s="771">
        <f>+F76+F80</f>
        <v>0</v>
      </c>
      <c r="H223" s="140">
        <f t="shared" si="16"/>
        <v>0</v>
      </c>
    </row>
    <row r="224" spans="1:30" s="140" customFormat="1">
      <c r="A224" s="127" t="s">
        <v>191</v>
      </c>
      <c r="B224" s="128" t="s">
        <v>286</v>
      </c>
      <c r="C224" s="134">
        <f>+C74+C75+C77+C78+C79+C81</f>
        <v>73861</v>
      </c>
      <c r="D224" s="769">
        <f>+D74+D75+D77+D78+D79+D81</f>
        <v>73861</v>
      </c>
      <c r="E224" s="770">
        <f>+E74+E75+E77+E78+E79+E81</f>
        <v>0</v>
      </c>
      <c r="F224" s="771">
        <f>+F74+F75+F77+F78+F79+F81</f>
        <v>0</v>
      </c>
      <c r="H224" s="140">
        <f t="shared" si="16"/>
        <v>0</v>
      </c>
    </row>
    <row r="225" spans="1:30">
      <c r="A225" s="1126" t="s">
        <v>55</v>
      </c>
      <c r="B225" s="1127" t="s">
        <v>324</v>
      </c>
      <c r="C225" s="129">
        <f>+C227</f>
        <v>0</v>
      </c>
      <c r="D225" s="1094">
        <f>+D227</f>
        <v>0</v>
      </c>
      <c r="E225" s="1095">
        <f>+E227</f>
        <v>0</v>
      </c>
      <c r="F225" s="1096">
        <f>+F227</f>
        <v>0</v>
      </c>
      <c r="H225" s="141">
        <f t="shared" si="16"/>
        <v>0</v>
      </c>
    </row>
    <row r="226" spans="1:30" s="140" customFormat="1">
      <c r="A226" s="127" t="s">
        <v>56</v>
      </c>
      <c r="B226" s="128" t="s">
        <v>287</v>
      </c>
      <c r="C226" s="134">
        <f>+C185</f>
        <v>0</v>
      </c>
      <c r="D226" s="769">
        <f>+D185</f>
        <v>0</v>
      </c>
      <c r="E226" s="770">
        <f>+E185</f>
        <v>0</v>
      </c>
      <c r="F226" s="771">
        <f>+F185</f>
        <v>0</v>
      </c>
      <c r="H226" s="140">
        <f t="shared" si="16"/>
        <v>0</v>
      </c>
    </row>
    <row r="227" spans="1:30" s="140" customFormat="1" ht="12.75" thickBot="1">
      <c r="A227" s="1130" t="s">
        <v>57</v>
      </c>
      <c r="B227" s="1156" t="s">
        <v>288</v>
      </c>
      <c r="C227" s="1132">
        <f>+C180+C181+C182+C183+C184+C186+C187</f>
        <v>0</v>
      </c>
      <c r="D227" s="1133">
        <f>+D180+D181+D182+D183+D184+D186+D187</f>
        <v>0</v>
      </c>
      <c r="E227" s="1134">
        <f>+E180+E181+E182+E183+E184+E186+E187</f>
        <v>0</v>
      </c>
      <c r="F227" s="1135">
        <f>+F180+F181+F182+F183+F184+F186+F187</f>
        <v>0</v>
      </c>
      <c r="H227" s="140">
        <f t="shared" si="16"/>
        <v>0</v>
      </c>
    </row>
    <row r="228" spans="1:30" s="143" customFormat="1" ht="12.75" thickBot="1">
      <c r="A228" s="1113" t="s">
        <v>6</v>
      </c>
      <c r="B228" s="1121" t="s">
        <v>325</v>
      </c>
      <c r="C228" s="130">
        <f>+C229-C232</f>
        <v>0</v>
      </c>
      <c r="D228" s="131">
        <f>+D229-D232</f>
        <v>0</v>
      </c>
      <c r="E228" s="132">
        <f>+E229-E232</f>
        <v>0</v>
      </c>
      <c r="F228" s="133">
        <f>+F229-F232</f>
        <v>0</v>
      </c>
      <c r="H228" s="143">
        <f t="shared" si="16"/>
        <v>0</v>
      </c>
    </row>
    <row r="229" spans="1:30">
      <c r="A229" s="1122" t="s">
        <v>58</v>
      </c>
      <c r="B229" s="135" t="s">
        <v>326</v>
      </c>
      <c r="C229" s="136">
        <f>+C230+C231</f>
        <v>0</v>
      </c>
      <c r="D229" s="137">
        <f>+D230+D231</f>
        <v>0</v>
      </c>
      <c r="E229" s="138">
        <f>+E230+E231</f>
        <v>0</v>
      </c>
      <c r="F229" s="139">
        <f>+F230+F231</f>
        <v>0</v>
      </c>
      <c r="H229" s="141">
        <f t="shared" si="16"/>
        <v>0</v>
      </c>
    </row>
    <row r="230" spans="1:30" s="140" customFormat="1">
      <c r="A230" s="127" t="s">
        <v>293</v>
      </c>
      <c r="B230" s="128" t="s">
        <v>291</v>
      </c>
      <c r="C230" s="134">
        <f>+C91+C95</f>
        <v>0</v>
      </c>
      <c r="D230" s="769">
        <f>+D91+D95</f>
        <v>0</v>
      </c>
      <c r="E230" s="770">
        <f>+E91+E95</f>
        <v>0</v>
      </c>
      <c r="F230" s="771">
        <f>+F91+F95</f>
        <v>0</v>
      </c>
      <c r="H230" s="140">
        <f t="shared" si="16"/>
        <v>0</v>
      </c>
    </row>
    <row r="231" spans="1:30" s="140" customFormat="1">
      <c r="A231" s="127" t="s">
        <v>294</v>
      </c>
      <c r="B231" s="128" t="s">
        <v>292</v>
      </c>
      <c r="C231" s="134">
        <f>+C89+C90+C92+C93+C94+C96</f>
        <v>0</v>
      </c>
      <c r="D231" s="769">
        <f>+D89+D90+D92+D93+D94+D96</f>
        <v>0</v>
      </c>
      <c r="E231" s="770">
        <f>+E89+E90+E92+E93+E94+E96</f>
        <v>0</v>
      </c>
      <c r="F231" s="771">
        <f>+F89+F90+F92+F93+F94+F96</f>
        <v>0</v>
      </c>
      <c r="H231" s="140">
        <f t="shared" si="16"/>
        <v>0</v>
      </c>
    </row>
    <row r="232" spans="1:30">
      <c r="A232" s="1126" t="s">
        <v>59</v>
      </c>
      <c r="B232" s="1127" t="s">
        <v>327</v>
      </c>
      <c r="C232" s="129">
        <f>+C233+C234</f>
        <v>0</v>
      </c>
      <c r="D232" s="1094">
        <f>+D233+D234</f>
        <v>0</v>
      </c>
      <c r="E232" s="1095">
        <f>+E233+E234</f>
        <v>0</v>
      </c>
      <c r="F232" s="1096">
        <f>+F233+F234</f>
        <v>0</v>
      </c>
      <c r="H232" s="141">
        <f t="shared" si="16"/>
        <v>0</v>
      </c>
    </row>
    <row r="233" spans="1:30" s="140" customFormat="1">
      <c r="A233" s="127" t="s">
        <v>295</v>
      </c>
      <c r="B233" s="128" t="s">
        <v>289</v>
      </c>
      <c r="C233" s="134">
        <f>+C200</f>
        <v>0</v>
      </c>
      <c r="D233" s="769">
        <f>+D200</f>
        <v>0</v>
      </c>
      <c r="E233" s="770">
        <f>+E200</f>
        <v>0</v>
      </c>
      <c r="F233" s="771">
        <f>+F200</f>
        <v>0</v>
      </c>
      <c r="H233" s="140">
        <f t="shared" si="16"/>
        <v>0</v>
      </c>
    </row>
    <row r="234" spans="1:30" s="140" customFormat="1" ht="12.75" thickBot="1">
      <c r="A234" s="1170" t="s">
        <v>296</v>
      </c>
      <c r="B234" s="1171" t="s">
        <v>290</v>
      </c>
      <c r="C234" s="1172">
        <f>+C195+C196+C197+C198+C199+C201+C202</f>
        <v>0</v>
      </c>
      <c r="D234" s="1173">
        <f>+D195+D196+D197+D198+D199+D201+D202</f>
        <v>0</v>
      </c>
      <c r="E234" s="1174">
        <f>+E195+E196+E197+E198+E199+E201+E202</f>
        <v>0</v>
      </c>
      <c r="F234" s="1175">
        <f>+F195+F196+F197+F198+F199+F201+F202</f>
        <v>0</v>
      </c>
      <c r="H234" s="140">
        <f t="shared" si="16"/>
        <v>0</v>
      </c>
    </row>
    <row r="237" spans="1:30" s="1" customFormat="1" ht="15.75">
      <c r="A237" s="1434" t="s">
        <v>1318</v>
      </c>
      <c r="B237" s="1434"/>
      <c r="C237" s="1434"/>
      <c r="D237" s="1434"/>
      <c r="E237" s="1434"/>
      <c r="F237" s="14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s="1104" customFormat="1" ht="12.75" thickBot="1">
      <c r="A238" s="1103" t="s">
        <v>284</v>
      </c>
      <c r="F238" s="1105"/>
    </row>
    <row r="239" spans="1:30" s="143" customFormat="1">
      <c r="A239" s="1176" t="s">
        <v>4</v>
      </c>
      <c r="B239" s="1177" t="s">
        <v>91</v>
      </c>
      <c r="C239" s="1178">
        <f>+D239+E239+F239</f>
        <v>21</v>
      </c>
      <c r="D239" s="1179">
        <v>21</v>
      </c>
      <c r="E239" s="1180"/>
      <c r="F239" s="1181"/>
      <c r="H239" s="143">
        <f t="shared" si="16"/>
        <v>0</v>
      </c>
    </row>
    <row r="240" spans="1:30" s="140" customFormat="1">
      <c r="A240" s="1130" t="s">
        <v>351</v>
      </c>
      <c r="B240" s="1182" t="s">
        <v>352</v>
      </c>
      <c r="C240" s="1183">
        <f>+D240+E240+F240</f>
        <v>0</v>
      </c>
      <c r="D240" s="1184"/>
      <c r="E240" s="1185"/>
      <c r="F240" s="1186"/>
      <c r="H240" s="140">
        <f t="shared" si="16"/>
        <v>0</v>
      </c>
    </row>
    <row r="241" spans="1:8" s="143" customFormat="1" ht="12.75" thickBot="1">
      <c r="A241" s="1187" t="s">
        <v>5</v>
      </c>
      <c r="B241" s="1188" t="s">
        <v>92</v>
      </c>
      <c r="C241" s="1189">
        <f>+D241+E241+F241</f>
        <v>0</v>
      </c>
      <c r="D241" s="1190"/>
      <c r="E241" s="1191"/>
      <c r="F241" s="1192"/>
      <c r="H241" s="143">
        <f t="shared" si="16"/>
        <v>0</v>
      </c>
    </row>
    <row r="242" spans="1:8" s="143" customFormat="1" ht="12.75" thickBot="1">
      <c r="A242" s="1113" t="s">
        <v>6</v>
      </c>
      <c r="B242" s="1136" t="s">
        <v>330</v>
      </c>
      <c r="C242" s="1193">
        <f>+C239+C241</f>
        <v>21</v>
      </c>
      <c r="D242" s="1194">
        <f>+D239+D241</f>
        <v>21</v>
      </c>
      <c r="E242" s="1195">
        <f>+E239+E241</f>
        <v>0</v>
      </c>
      <c r="F242" s="1196">
        <f>+F239+F241</f>
        <v>0</v>
      </c>
      <c r="H242" s="143">
        <f t="shared" si="16"/>
        <v>0</v>
      </c>
    </row>
  </sheetData>
  <mergeCells count="9">
    <mergeCell ref="A211:F211"/>
    <mergeCell ref="A218:F218"/>
    <mergeCell ref="A237:F237"/>
    <mergeCell ref="A3:F3"/>
    <mergeCell ref="A4:F4"/>
    <mergeCell ref="A6:F6"/>
    <mergeCell ref="C9:F9"/>
    <mergeCell ref="A105:F105"/>
    <mergeCell ref="C108:F10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4" fitToHeight="2" orientation="portrait" r:id="rId1"/>
  <headerFooter>
    <oddHeader>&amp;C 1.6. melléklet - &amp;P. oldal</oddHeader>
  </headerFooter>
  <rowBreaks count="1" manualBreakCount="1"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27</vt:i4>
      </vt:variant>
    </vt:vector>
  </HeadingPairs>
  <TitlesOfParts>
    <vt:vector size="54" baseType="lpstr">
      <vt:lpstr>II.fordulóra</vt:lpstr>
      <vt:lpstr>Tartalomjegyzék</vt:lpstr>
      <vt:lpstr>1.mell._Össz_Mérleg2019</vt:lpstr>
      <vt:lpstr>1.1.mell._ÖNK_Mérleg2019</vt:lpstr>
      <vt:lpstr>1.2.mell._HKÖH_Mérleg2019</vt:lpstr>
      <vt:lpstr>1.3.mell._HVÓBKI_Mérleg2019</vt:lpstr>
      <vt:lpstr>1.4.mell._HKK_Mérleg2019</vt:lpstr>
      <vt:lpstr>1.5._mell._MŐSZ_Mérleg2019</vt:lpstr>
      <vt:lpstr>1.6._mell._HVGYKCSSZ_Mérleg2019</vt:lpstr>
      <vt:lpstr>2.a.mell._MMérleg2019</vt:lpstr>
      <vt:lpstr>2.b.mell._FMérleg2019</vt:lpstr>
      <vt:lpstr>3. mell._létszám2019</vt:lpstr>
      <vt:lpstr>4. mell. EUprojektek2019</vt:lpstr>
      <vt:lpstr>5.mell_adósság2019</vt:lpstr>
      <vt:lpstr>6.mell_Többévesköt.2019</vt:lpstr>
      <vt:lpstr>7. mell_KözvetettTám2019</vt:lpstr>
      <vt:lpstr>8.mell_EIfelhterv2019</vt:lpstr>
      <vt:lpstr>9.mell_ÖsszMérleg(telj)2019</vt:lpstr>
      <vt:lpstr>10.mell_támogatások2019</vt:lpstr>
      <vt:lpstr>11.mell_felhKiad2019</vt:lpstr>
      <vt:lpstr>12.mell_céltámogatások2019</vt:lpstr>
      <vt:lpstr>13.mell_ÖNKfeladatok2019</vt:lpstr>
      <vt:lpstr>14.mell_Önk kiegészítés2019</vt:lpstr>
      <vt:lpstr>15.mell_Tartozások2019</vt:lpstr>
      <vt:lpstr>16.mell_Étkezésdíj2019</vt:lpstr>
      <vt:lpstr>1.függVárosüzem2019</vt:lpstr>
      <vt:lpstr>2.függ_adósság2019 (határozat)</vt:lpstr>
      <vt:lpstr>'10.mell_támogatások2019'!Nyomtatási_cím</vt:lpstr>
      <vt:lpstr>'13.mell_ÖNKfeladatok2019'!Nyomtatási_cím</vt:lpstr>
      <vt:lpstr>'14.mell_Önk kiegészítés2019'!Nyomtatási_cím</vt:lpstr>
      <vt:lpstr>II.fordulóra!Nyomtatási_cím</vt:lpstr>
      <vt:lpstr>'1.1.mell._ÖNK_Mérleg2019'!Nyomtatási_terület</vt:lpstr>
      <vt:lpstr>'1.2.mell._HKÖH_Mérleg2019'!Nyomtatási_terület</vt:lpstr>
      <vt:lpstr>'1.3.mell._HVÓBKI_Mérleg2019'!Nyomtatási_terület</vt:lpstr>
      <vt:lpstr>'1.4.mell._HKK_Mérleg2019'!Nyomtatási_terület</vt:lpstr>
      <vt:lpstr>'1.5._mell._MŐSZ_Mérleg2019'!Nyomtatási_terület</vt:lpstr>
      <vt:lpstr>'1.6._mell._HVGYKCSSZ_Mérleg2019'!Nyomtatási_terület</vt:lpstr>
      <vt:lpstr>'1.függVárosüzem2019'!Nyomtatási_terület</vt:lpstr>
      <vt:lpstr>'1.mell._Össz_Mérleg2019'!Nyomtatási_terület</vt:lpstr>
      <vt:lpstr>'10.mell_támogatások2019'!Nyomtatási_terület</vt:lpstr>
      <vt:lpstr>'11.mell_felhKiad2019'!Nyomtatási_terület</vt:lpstr>
      <vt:lpstr>'12.mell_céltámogatások2019'!Nyomtatási_terület</vt:lpstr>
      <vt:lpstr>'13.mell_ÖNKfeladatok2019'!Nyomtatási_terület</vt:lpstr>
      <vt:lpstr>'14.mell_Önk kiegészítés2019'!Nyomtatási_terület</vt:lpstr>
      <vt:lpstr>'16.mell_Étkezésdíj2019'!Nyomtatási_terület</vt:lpstr>
      <vt:lpstr>'2.a.mell._MMérleg2019'!Nyomtatási_terület</vt:lpstr>
      <vt:lpstr>'2.b.mell._FMérleg2019'!Nyomtatási_terület</vt:lpstr>
      <vt:lpstr>'2.függ_adósság2019 (határozat)'!Nyomtatási_terület</vt:lpstr>
      <vt:lpstr>'3. mell._létszám2019'!Nyomtatási_terület</vt:lpstr>
      <vt:lpstr>'4. mell. EUprojektek2019'!Nyomtatási_terület</vt:lpstr>
      <vt:lpstr>'7. mell_KözvetettTám2019'!Nyomtatási_terület</vt:lpstr>
      <vt:lpstr>'8.mell_EIfelhterv2019'!Nyomtatási_terület</vt:lpstr>
      <vt:lpstr>'9.mell_ÖsszMérleg(telj)2019'!Nyomtatási_terület</vt:lpstr>
      <vt:lpstr>II.fordulóra!Nyomtatási_terület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 Ecsegi</dc:creator>
  <cp:lastModifiedBy>ecsegi</cp:lastModifiedBy>
  <cp:lastPrinted>2019-02-08T16:16:13Z</cp:lastPrinted>
  <dcterms:created xsi:type="dcterms:W3CDTF">1998-12-06T10:54:59Z</dcterms:created>
  <dcterms:modified xsi:type="dcterms:W3CDTF">2019-02-11T08:39:29Z</dcterms:modified>
</cp:coreProperties>
</file>